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EstaPasta_de_trabalho" defaultThemeVersion="124226"/>
  <bookViews>
    <workbookView xWindow="0" yWindow="0" windowWidth="20400" windowHeight="7020" tabRatio="923" firstSheet="2" activeTab="15"/>
  </bookViews>
  <sheets>
    <sheet name="Ruas Ben" sheetId="12" r:id="rId1"/>
    <sheet name="M. Calc Dre" sheetId="11" r:id="rId2"/>
    <sheet name="Terrap." sheetId="7" r:id="rId3"/>
    <sheet name="BASE E SUB" sheetId="33" r:id="rId4"/>
    <sheet name="Cub" sheetId="32" r:id="rId5"/>
    <sheet name="Pavim." sheetId="8" r:id="rId6"/>
    <sheet name="Coord" sheetId="40" state="hidden" r:id="rId7"/>
    <sheet name="MAT. PETREO" sheetId="30" r:id="rId8"/>
    <sheet name="MAT BETUMINOSO" sheetId="31" r:id="rId9"/>
    <sheet name="MF e Sarj." sheetId="10" r:id="rId10"/>
    <sheet name="CALÇADA" sheetId="35" state="hidden" r:id="rId11"/>
    <sheet name="PISO TATIL" sheetId="37" state="hidden" r:id="rId12"/>
    <sheet name="Sinal." sheetId="14" r:id="rId13"/>
    <sheet name="Mem. Calc." sheetId="15" r:id="rId14"/>
    <sheet name="Comp. TSD E CAPA" sheetId="20" state="hidden" r:id="rId15"/>
    <sheet name="Orçam." sheetId="1" r:id="rId16"/>
    <sheet name="Resumo" sheetId="4" r:id="rId17"/>
    <sheet name="Orçam. (2)" sheetId="43" state="hidden" r:id="rId18"/>
    <sheet name="Crono Basico" sheetId="39" r:id="rId19"/>
    <sheet name="Crono Comp." sheetId="2" state="hidden" r:id="rId20"/>
    <sheet name="BDI" sheetId="19" r:id="rId21"/>
    <sheet name="QCI" sheetId="16" state="hidden" r:id="rId22"/>
    <sheet name="COMPOSIÇÕES" sheetId="34" r:id="rId23"/>
    <sheet name="COMP PV" sheetId="36" state="hidden" r:id="rId24"/>
    <sheet name="CRON 2" sheetId="28" state="hidden" r:id="rId25"/>
    <sheet name="MOBILIZAÇÃO" sheetId="44" state="hidden" r:id="rId26"/>
    <sheet name="MOBILIZA" sheetId="45" r:id="rId27"/>
    <sheet name="ADM LOCAL" sheetId="46" r:id="rId28"/>
  </sheets>
  <definedNames>
    <definedName name="_xlnm.Print_Area" localSheetId="27">'ADM LOCAL'!$A$1:$I$26</definedName>
    <definedName name="_xlnm.Print_Area" localSheetId="3">'BASE E SUB'!$A$1:$P$29</definedName>
    <definedName name="_xlnm.Print_Area" localSheetId="20">BDI!$A$1:$G$32</definedName>
    <definedName name="_xlnm.Print_Area" localSheetId="10">CALÇADA!$A$1:$L$56</definedName>
    <definedName name="_xlnm.Print_Area" localSheetId="23">'COMP PV'!$A$1:$G$31</definedName>
    <definedName name="_xlnm.Print_Area" localSheetId="22">COMPOSIÇÕES!$A$1:$F$127</definedName>
    <definedName name="_xlnm.Print_Area" localSheetId="6">Coord!$A$1:$H$54</definedName>
    <definedName name="_xlnm.Print_Area" localSheetId="24">'CRON 2'!$A$1:$P$50</definedName>
    <definedName name="_xlnm.Print_Area" localSheetId="18">'Crono Basico'!$A$1:$R$33</definedName>
    <definedName name="_xlnm.Print_Area" localSheetId="19">'Crono Comp.'!$A$1:$R$90</definedName>
    <definedName name="_xlnm.Print_Area" localSheetId="4">Cub!$A$1:$I$49</definedName>
    <definedName name="_xlnm.Print_Area" localSheetId="1">'M. Calc Dre'!$A$1:$L$104</definedName>
    <definedName name="_xlnm.Print_Area" localSheetId="8">'MAT BETUMINOSO'!$A$1:$J$30</definedName>
    <definedName name="_xlnm.Print_Area" localSheetId="7">'MAT. PETREO'!$A$1:$N$30</definedName>
    <definedName name="_xlnm.Print_Area" localSheetId="13">'Mem. Calc.'!$A$1:$E$69</definedName>
    <definedName name="_xlnm.Print_Area" localSheetId="9">'MF e Sarj.'!$A$1:$J$59</definedName>
    <definedName name="_xlnm.Print_Area" localSheetId="26">MOBILIZA!$A$1:$H$37</definedName>
    <definedName name="_xlnm.Print_Area" localSheetId="25">MOBILIZAÇÃO!$A$1:$G$32</definedName>
    <definedName name="_xlnm.Print_Area" localSheetId="15">Orçam.!$A$1:$J$77</definedName>
    <definedName name="_xlnm.Print_Area" localSheetId="17">'Orçam. (2)'!$A$1:$AI$78</definedName>
    <definedName name="_xlnm.Print_Area" localSheetId="5">Pavim.!$A$1:$J$30</definedName>
    <definedName name="_xlnm.Print_Area" localSheetId="11">'PISO TATIL'!$A$1:$N$59</definedName>
    <definedName name="_xlnm.Print_Area" localSheetId="21">QCI!$A$1:$G$36</definedName>
    <definedName name="_xlnm.Print_Area" localSheetId="16">Resumo!$A$1:$F$32</definedName>
    <definedName name="_xlnm.Print_Area" localSheetId="0">'Ruas Ben'!$A$1:$Q$23</definedName>
    <definedName name="_xlnm.Print_Area" localSheetId="12">Sinal.!$A$1:$J$47</definedName>
    <definedName name="_xlnm.Print_Area" localSheetId="2">Terrap.!$A$1:$J$31</definedName>
    <definedName name="_xlnm.Print_Titles" localSheetId="22">COMPOSIÇÕES!$1:$6</definedName>
    <definedName name="_xlnm.Print_Titles" localSheetId="24">'CRON 2'!$A:$D,'CRON 2'!$1:$8</definedName>
    <definedName name="_xlnm.Print_Titles" localSheetId="18">'Crono Basico'!$A:$D,'Crono Basico'!$1:$10</definedName>
    <definedName name="_xlnm.Print_Titles" localSheetId="19">'Crono Comp.'!$1:$10</definedName>
    <definedName name="_xlnm.Print_Titles" localSheetId="4">Cub!$7:$9</definedName>
    <definedName name="_xlnm.Print_Titles" localSheetId="1">'M. Calc Dre'!$1:$8</definedName>
    <definedName name="_xlnm.Print_Titles" localSheetId="13">'Mem. Calc.'!$1:$8</definedName>
    <definedName name="_xlnm.Print_Titles" localSheetId="15">Orçam.!$1:$8</definedName>
    <definedName name="_xlnm.Print_Titles" localSheetId="17">'Orçam. (2)'!$1:$8</definedName>
  </definedNames>
  <calcPr calcId="162913" fullPrecision="0"/>
</workbook>
</file>

<file path=xl/calcChain.xml><?xml version="1.0" encoding="utf-8"?>
<calcChain xmlns="http://schemas.openxmlformats.org/spreadsheetml/2006/main">
  <c r="F12" i="1" l="1"/>
  <c r="F13" i="1"/>
  <c r="F14" i="1"/>
  <c r="E11" i="15"/>
  <c r="F11" i="1" s="1"/>
  <c r="E10" i="15"/>
  <c r="F10" i="1" s="1"/>
  <c r="A11" i="15"/>
  <c r="B11" i="15"/>
  <c r="C11" i="15"/>
  <c r="A12" i="15"/>
  <c r="B12" i="15"/>
  <c r="C12" i="15"/>
  <c r="A13" i="15"/>
  <c r="C13" i="15"/>
  <c r="A14" i="15"/>
  <c r="C14" i="15"/>
  <c r="D14" i="1"/>
  <c r="B14" i="15" s="1"/>
  <c r="D13" i="1"/>
  <c r="B13" i="15" s="1"/>
  <c r="F13" i="46"/>
  <c r="F14" i="46" s="1"/>
  <c r="E13" i="46"/>
  <c r="E14" i="46" s="1"/>
  <c r="E15" i="46" s="1"/>
  <c r="G12" i="46"/>
  <c r="I17" i="46"/>
  <c r="I16" i="46"/>
  <c r="E3" i="45"/>
  <c r="F13" i="45"/>
  <c r="F14" i="45" s="1"/>
  <c r="F15" i="45" s="1"/>
  <c r="F16" i="45" s="1"/>
  <c r="F17" i="45" s="1"/>
  <c r="F18" i="45" s="1"/>
  <c r="F19" i="45" s="1"/>
  <c r="F20" i="45" s="1"/>
  <c r="G12" i="45"/>
  <c r="H12" i="45" s="1"/>
  <c r="G11" i="45"/>
  <c r="G13" i="45" s="1"/>
  <c r="G14" i="45" s="1"/>
  <c r="H11" i="45" l="1"/>
  <c r="F15" i="46"/>
  <c r="G15" i="46" s="1"/>
  <c r="I15" i="46" s="1"/>
  <c r="G14" i="46"/>
  <c r="I14" i="46" s="1"/>
  <c r="G13" i="46"/>
  <c r="I13" i="46" s="1"/>
  <c r="I12" i="46"/>
  <c r="F25" i="45"/>
  <c r="F26" i="45" s="1"/>
  <c r="F27" i="45" s="1"/>
  <c r="F28" i="45" s="1"/>
  <c r="F21" i="45"/>
  <c r="F22" i="45" s="1"/>
  <c r="F23" i="45" s="1"/>
  <c r="F24" i="45" s="1"/>
  <c r="H14" i="45"/>
  <c r="G16" i="45"/>
  <c r="G15" i="45"/>
  <c r="H13" i="45"/>
  <c r="I18" i="46" l="1"/>
  <c r="G14" i="1" s="1"/>
  <c r="G17" i="45"/>
  <c r="H15" i="45"/>
  <c r="G18" i="45"/>
  <c r="H16" i="45"/>
  <c r="H18" i="45" l="1"/>
  <c r="G20" i="45"/>
  <c r="G19" i="45"/>
  <c r="H17" i="45"/>
  <c r="H19" i="45" l="1"/>
  <c r="G21" i="45"/>
  <c r="G22" i="45"/>
  <c r="H20" i="45"/>
  <c r="H21" i="45" l="1"/>
  <c r="G23" i="45"/>
  <c r="H22" i="45"/>
  <c r="G24" i="45"/>
  <c r="H23" i="45" l="1"/>
  <c r="G25" i="45"/>
  <c r="G26" i="45"/>
  <c r="H24" i="45"/>
  <c r="G27" i="45" l="1"/>
  <c r="H27" i="45" s="1"/>
  <c r="H25" i="45"/>
  <c r="H26" i="45"/>
  <c r="G28" i="45"/>
  <c r="H28" i="45" s="1"/>
  <c r="H29" i="45" l="1"/>
  <c r="E32" i="45" s="1"/>
  <c r="G32" i="45" s="1"/>
  <c r="G13" i="1" s="1"/>
  <c r="C44" i="15" l="1"/>
  <c r="E47" i="10" l="1"/>
  <c r="E48" i="10"/>
  <c r="E49" i="10"/>
  <c r="G19" i="8"/>
  <c r="G20" i="8"/>
  <c r="G21" i="8"/>
  <c r="F19" i="8"/>
  <c r="F20" i="8"/>
  <c r="F21" i="8"/>
  <c r="H23" i="32"/>
  <c r="A19" i="32"/>
  <c r="A20" i="32"/>
  <c r="A21" i="32"/>
  <c r="B22" i="33"/>
  <c r="I22" i="33"/>
  <c r="I19" i="7"/>
  <c r="I20" i="7"/>
  <c r="I21" i="7"/>
  <c r="E19" i="7"/>
  <c r="E20" i="7"/>
  <c r="E21" i="7"/>
  <c r="J21" i="7" l="1"/>
  <c r="J19" i="7"/>
  <c r="C19" i="33" s="1"/>
  <c r="J20" i="7"/>
  <c r="C20" i="33" s="1"/>
  <c r="G19" i="10"/>
  <c r="G20" i="10"/>
  <c r="G21" i="10"/>
  <c r="F19" i="10"/>
  <c r="F47" i="10" s="1"/>
  <c r="F20" i="10"/>
  <c r="F48" i="10" s="1"/>
  <c r="F21" i="10"/>
  <c r="F49" i="10" s="1"/>
  <c r="D19" i="10"/>
  <c r="E19" i="10" s="1"/>
  <c r="D20" i="10"/>
  <c r="E20" i="10" s="1"/>
  <c r="E21" i="10"/>
  <c r="I19" i="31"/>
  <c r="I20" i="31"/>
  <c r="I21" i="31"/>
  <c r="E19" i="31"/>
  <c r="E20" i="31"/>
  <c r="E21" i="31"/>
  <c r="D19" i="31"/>
  <c r="D20" i="31"/>
  <c r="D21" i="31"/>
  <c r="B19" i="31"/>
  <c r="B20" i="31"/>
  <c r="B21" i="31"/>
  <c r="M19" i="30"/>
  <c r="M20" i="30"/>
  <c r="M21" i="30"/>
  <c r="E19" i="30"/>
  <c r="E20" i="30"/>
  <c r="E21" i="30"/>
  <c r="D19" i="30"/>
  <c r="D20" i="30"/>
  <c r="D21" i="30"/>
  <c r="B19" i="30"/>
  <c r="B20" i="30"/>
  <c r="B21" i="30"/>
  <c r="I19" i="8"/>
  <c r="I20" i="8"/>
  <c r="I21" i="8"/>
  <c r="D19" i="8"/>
  <c r="D20" i="8"/>
  <c r="D21" i="8"/>
  <c r="C19" i="8"/>
  <c r="C20" i="8"/>
  <c r="C21" i="8"/>
  <c r="B19" i="8"/>
  <c r="B19" i="10" s="1"/>
  <c r="B47" i="10" s="1"/>
  <c r="B20" i="8"/>
  <c r="B20" i="10" s="1"/>
  <c r="B48" i="10" s="1"/>
  <c r="B21" i="8"/>
  <c r="B21" i="10" s="1"/>
  <c r="B49" i="10" s="1"/>
  <c r="C21" i="33"/>
  <c r="B19" i="33"/>
  <c r="B20" i="33"/>
  <c r="B21" i="33"/>
  <c r="B34" i="1"/>
  <c r="B10" i="1"/>
  <c r="F117" i="34"/>
  <c r="F116" i="34"/>
  <c r="F112" i="34"/>
  <c r="F111" i="34"/>
  <c r="F110" i="34"/>
  <c r="F109" i="34"/>
  <c r="F108" i="34"/>
  <c r="F101" i="34"/>
  <c r="F100" i="34"/>
  <c r="F96" i="34"/>
  <c r="F95" i="34"/>
  <c r="I21" i="10" l="1"/>
  <c r="J21" i="10" s="1"/>
  <c r="G49" i="10"/>
  <c r="I49" i="10" s="1"/>
  <c r="J49" i="10" s="1"/>
  <c r="I19" i="10"/>
  <c r="J19" i="10" s="1"/>
  <c r="G47" i="10"/>
  <c r="I47" i="10" s="1"/>
  <c r="J47" i="10" s="1"/>
  <c r="I20" i="10"/>
  <c r="J20" i="10" s="1"/>
  <c r="G48" i="10"/>
  <c r="I48" i="10" s="1"/>
  <c r="J48" i="10" s="1"/>
  <c r="E19" i="8"/>
  <c r="J19" i="8" s="1"/>
  <c r="C19" i="31" s="1"/>
  <c r="E20" i="8"/>
  <c r="J20" i="8" s="1"/>
  <c r="C20" i="30" s="1"/>
  <c r="E21" i="8"/>
  <c r="J21" i="8" s="1"/>
  <c r="C21" i="30" s="1"/>
  <c r="F118" i="34"/>
  <c r="F114" i="34"/>
  <c r="F102" i="34"/>
  <c r="F98" i="34"/>
  <c r="B39" i="1"/>
  <c r="F87" i="34"/>
  <c r="F80" i="34"/>
  <c r="F81" i="34"/>
  <c r="F82" i="34"/>
  <c r="F83" i="34"/>
  <c r="F88" i="34"/>
  <c r="F79" i="34"/>
  <c r="B68" i="1"/>
  <c r="F72" i="34"/>
  <c r="F73" i="34" s="1"/>
  <c r="F68" i="34"/>
  <c r="F67" i="34"/>
  <c r="B67" i="1"/>
  <c r="B66" i="1"/>
  <c r="B50" i="1"/>
  <c r="F29" i="34"/>
  <c r="F89" i="34" l="1"/>
  <c r="C19" i="30"/>
  <c r="H19" i="30" s="1"/>
  <c r="C20" i="31"/>
  <c r="G20" i="31" s="1"/>
  <c r="C21" i="31"/>
  <c r="G21" i="31" s="1"/>
  <c r="F19" i="31"/>
  <c r="G19" i="31"/>
  <c r="G21" i="30"/>
  <c r="H21" i="30"/>
  <c r="H20" i="30"/>
  <c r="G20" i="30"/>
  <c r="F119" i="34"/>
  <c r="G10" i="1" s="1"/>
  <c r="F103" i="34"/>
  <c r="G34" i="1" s="1"/>
  <c r="F85" i="34"/>
  <c r="F90" i="34" s="1"/>
  <c r="G39" i="1" s="1"/>
  <c r="F70" i="34"/>
  <c r="F74" i="34" s="1"/>
  <c r="G68" i="1" s="1"/>
  <c r="G6" i="1"/>
  <c r="J20" i="30" l="1"/>
  <c r="N20" i="30" s="1"/>
  <c r="J21" i="30"/>
  <c r="N21" i="30" s="1"/>
  <c r="F20" i="31"/>
  <c r="H20" i="31" s="1"/>
  <c r="J20" i="31" s="1"/>
  <c r="G19" i="30"/>
  <c r="J19" i="30" s="1"/>
  <c r="N19" i="30" s="1"/>
  <c r="F21" i="31"/>
  <c r="H21" i="31" s="1"/>
  <c r="J21" i="31" s="1"/>
  <c r="H19" i="31"/>
  <c r="J19" i="31" s="1"/>
  <c r="C13" i="8"/>
  <c r="C12" i="8"/>
  <c r="C11" i="8"/>
  <c r="B74" i="1" l="1"/>
  <c r="B123" i="34" s="1"/>
  <c r="B75" i="1"/>
  <c r="B124" i="34" s="1"/>
  <c r="B76" i="1"/>
  <c r="B125" i="34" s="1"/>
  <c r="D12" i="10" l="1"/>
  <c r="C16" i="10"/>
  <c r="D16" i="10" s="1"/>
  <c r="C17" i="10"/>
  <c r="D17" i="10" s="1"/>
  <c r="C18" i="10"/>
  <c r="D18" i="10" s="1"/>
  <c r="D22" i="10"/>
  <c r="A53" i="15" l="1"/>
  <c r="B53" i="15"/>
  <c r="C53" i="15"/>
  <c r="L51" i="1" l="1"/>
  <c r="L52" i="1" s="1"/>
  <c r="A50" i="15" l="1"/>
  <c r="B50" i="15"/>
  <c r="C50" i="15"/>
  <c r="A52" i="15"/>
  <c r="B52" i="15"/>
  <c r="C52" i="15"/>
  <c r="C23" i="7" l="1"/>
  <c r="E22" i="7"/>
  <c r="I22" i="7"/>
  <c r="J22" i="7" l="1"/>
  <c r="C22" i="33" s="1"/>
  <c r="A16" i="4"/>
  <c r="A15" i="4"/>
  <c r="A14" i="4"/>
  <c r="A13" i="4"/>
  <c r="R16" i="39" l="1"/>
  <c r="R17" i="39"/>
  <c r="R18" i="39"/>
  <c r="R15" i="39"/>
  <c r="K12" i="30"/>
  <c r="K13" i="30" s="1"/>
  <c r="K14" i="30" s="1"/>
  <c r="K15" i="30" s="1"/>
  <c r="K16" i="30" s="1"/>
  <c r="F12" i="30"/>
  <c r="F13" i="30" s="1"/>
  <c r="F14" i="30" s="1"/>
  <c r="F15" i="30" s="1"/>
  <c r="F16" i="30" s="1"/>
  <c r="F17" i="30" s="1"/>
  <c r="F18" i="30" s="1"/>
  <c r="F22" i="30" l="1"/>
  <c r="F19" i="30"/>
  <c r="K17" i="30"/>
  <c r="F13" i="44"/>
  <c r="G13" i="44" s="1"/>
  <c r="F20" i="30" l="1"/>
  <c r="I19" i="30"/>
  <c r="K18" i="30"/>
  <c r="E14" i="44"/>
  <c r="E15" i="44" s="1"/>
  <c r="E16" i="44" s="1"/>
  <c r="E17" i="44" s="1"/>
  <c r="F12" i="44"/>
  <c r="F14" i="44" s="1"/>
  <c r="F21" i="30" l="1"/>
  <c r="I21" i="30" s="1"/>
  <c r="I20" i="30"/>
  <c r="K22" i="30"/>
  <c r="K19" i="30"/>
  <c r="K20" i="30" s="1"/>
  <c r="K21" i="30" s="1"/>
  <c r="F15" i="44"/>
  <c r="G14" i="44"/>
  <c r="G12" i="44"/>
  <c r="L19" i="30" l="1"/>
  <c r="L20" i="30"/>
  <c r="L21" i="30"/>
  <c r="G15" i="44"/>
  <c r="F16" i="44"/>
  <c r="G16" i="44" s="1"/>
  <c r="F17" i="44"/>
  <c r="G17" i="44" s="1"/>
  <c r="B45" i="40"/>
  <c r="G18" i="44" l="1"/>
  <c r="D21" i="44" s="1"/>
  <c r="F21" i="44" s="1"/>
  <c r="G3" i="1"/>
  <c r="G3" i="45" s="1"/>
  <c r="B51" i="1" l="1"/>
  <c r="F60" i="34"/>
  <c r="F61" i="34" s="1"/>
  <c r="F56" i="34"/>
  <c r="F55" i="34"/>
  <c r="F48" i="34"/>
  <c r="F47" i="34"/>
  <c r="F46" i="34"/>
  <c r="F43" i="34"/>
  <c r="F42" i="34"/>
  <c r="F41" i="34"/>
  <c r="F35" i="34"/>
  <c r="F34" i="34"/>
  <c r="F33" i="34"/>
  <c r="F32" i="34"/>
  <c r="F31" i="34"/>
  <c r="F30" i="34"/>
  <c r="F28" i="34"/>
  <c r="F27" i="34"/>
  <c r="F26" i="34"/>
  <c r="F25" i="34"/>
  <c r="F24" i="34"/>
  <c r="F23" i="34"/>
  <c r="F18" i="34"/>
  <c r="F17" i="34"/>
  <c r="F16" i="34"/>
  <c r="F15" i="34"/>
  <c r="F14" i="34"/>
  <c r="F13" i="34"/>
  <c r="F12" i="34"/>
  <c r="F11" i="34"/>
  <c r="F44" i="34" l="1"/>
  <c r="F36" i="34"/>
  <c r="G50" i="1" s="1"/>
  <c r="G51" i="1" s="1"/>
  <c r="F19" i="34"/>
  <c r="G47" i="1" s="1"/>
  <c r="F58" i="34"/>
  <c r="F62" i="34" s="1"/>
  <c r="G67" i="1" s="1"/>
  <c r="F49" i="34"/>
  <c r="A33" i="15"/>
  <c r="B33" i="15"/>
  <c r="C33" i="15"/>
  <c r="F50" i="34" l="1"/>
  <c r="G66" i="1" s="1"/>
  <c r="A25" i="15"/>
  <c r="B25" i="15"/>
  <c r="C25" i="15"/>
  <c r="D11" i="10"/>
  <c r="D12" i="8" l="1"/>
  <c r="D13" i="8"/>
  <c r="D14" i="8"/>
  <c r="D15" i="8"/>
  <c r="D16" i="8"/>
  <c r="D17" i="8"/>
  <c r="D18" i="8"/>
  <c r="D22" i="8"/>
  <c r="D11" i="8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B11" i="30"/>
  <c r="B12" i="30"/>
  <c r="B13" i="30"/>
  <c r="B14" i="30"/>
  <c r="B15" i="30"/>
  <c r="B16" i="30"/>
  <c r="B17" i="30"/>
  <c r="B18" i="30"/>
  <c r="A10" i="32" l="1"/>
  <c r="A12" i="32"/>
  <c r="I12" i="32"/>
  <c r="A13" i="32"/>
  <c r="I13" i="32"/>
  <c r="A14" i="32"/>
  <c r="I14" i="32"/>
  <c r="A15" i="32"/>
  <c r="I15" i="32"/>
  <c r="A16" i="32"/>
  <c r="I16" i="32"/>
  <c r="A17" i="32"/>
  <c r="I17" i="32"/>
  <c r="A18" i="32"/>
  <c r="I18" i="32"/>
  <c r="A22" i="32"/>
  <c r="I22" i="32"/>
  <c r="E22" i="10"/>
  <c r="E14" i="10"/>
  <c r="E15" i="10"/>
  <c r="E16" i="10"/>
  <c r="E17" i="10"/>
  <c r="E18" i="10"/>
  <c r="J46" i="37"/>
  <c r="J45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22" i="37"/>
  <c r="J21" i="37"/>
  <c r="J20" i="37"/>
  <c r="J19" i="37"/>
  <c r="J18" i="37"/>
  <c r="J17" i="37"/>
  <c r="J16" i="37"/>
  <c r="J15" i="37"/>
  <c r="J14" i="37"/>
  <c r="J13" i="37"/>
  <c r="I13" i="37"/>
  <c r="M13" i="37"/>
  <c r="I14" i="37"/>
  <c r="M14" i="37"/>
  <c r="I15" i="37"/>
  <c r="M15" i="37"/>
  <c r="I16" i="37"/>
  <c r="M16" i="37"/>
  <c r="I17" i="37"/>
  <c r="M17" i="37"/>
  <c r="I18" i="37"/>
  <c r="M18" i="37"/>
  <c r="I19" i="37"/>
  <c r="M19" i="37"/>
  <c r="I20" i="37"/>
  <c r="M20" i="37"/>
  <c r="I21" i="37"/>
  <c r="M21" i="37"/>
  <c r="I22" i="37"/>
  <c r="M22" i="37"/>
  <c r="I23" i="37"/>
  <c r="M23" i="37"/>
  <c r="I24" i="37"/>
  <c r="M24" i="37"/>
  <c r="I25" i="37"/>
  <c r="M25" i="37"/>
  <c r="I26" i="37"/>
  <c r="K26" i="37" s="1"/>
  <c r="L26" i="37" s="1"/>
  <c r="M26" i="37"/>
  <c r="I27" i="37"/>
  <c r="M27" i="37"/>
  <c r="I28" i="37"/>
  <c r="M28" i="37"/>
  <c r="I29" i="37"/>
  <c r="M29" i="37"/>
  <c r="I30" i="37"/>
  <c r="M30" i="37"/>
  <c r="I31" i="37"/>
  <c r="M31" i="37"/>
  <c r="I32" i="37"/>
  <c r="M32" i="37"/>
  <c r="I33" i="37"/>
  <c r="M33" i="37"/>
  <c r="I34" i="37"/>
  <c r="M34" i="37"/>
  <c r="I35" i="37"/>
  <c r="M35" i="37"/>
  <c r="I36" i="37"/>
  <c r="M36" i="37"/>
  <c r="I37" i="37"/>
  <c r="M37" i="37"/>
  <c r="I38" i="37"/>
  <c r="M38" i="37"/>
  <c r="I39" i="37"/>
  <c r="M39" i="37"/>
  <c r="I40" i="37"/>
  <c r="M40" i="37"/>
  <c r="I41" i="37"/>
  <c r="M41" i="37"/>
  <c r="I42" i="37"/>
  <c r="M42" i="37"/>
  <c r="I43" i="37"/>
  <c r="M43" i="37"/>
  <c r="I44" i="37"/>
  <c r="M44" i="37"/>
  <c r="I45" i="37"/>
  <c r="M45" i="37"/>
  <c r="I46" i="37"/>
  <c r="M46" i="37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12" i="35"/>
  <c r="D13" i="35"/>
  <c r="H13" i="35" s="1"/>
  <c r="D14" i="35"/>
  <c r="H14" i="35" s="1"/>
  <c r="D15" i="35"/>
  <c r="H15" i="35" s="1"/>
  <c r="D16" i="35"/>
  <c r="D17" i="35"/>
  <c r="H17" i="35" s="1"/>
  <c r="D18" i="35"/>
  <c r="H18" i="35" s="1"/>
  <c r="D19" i="35"/>
  <c r="D20" i="35"/>
  <c r="D21" i="35"/>
  <c r="H21" i="35" s="1"/>
  <c r="D22" i="35"/>
  <c r="H22" i="35" s="1"/>
  <c r="D23" i="35"/>
  <c r="H23" i="35" s="1"/>
  <c r="D24" i="35"/>
  <c r="H24" i="35" s="1"/>
  <c r="D25" i="35"/>
  <c r="H25" i="35" s="1"/>
  <c r="D26" i="35"/>
  <c r="H26" i="35" s="1"/>
  <c r="D27" i="35"/>
  <c r="D28" i="35"/>
  <c r="H28" i="35" s="1"/>
  <c r="D29" i="35"/>
  <c r="H29" i="35" s="1"/>
  <c r="D30" i="35"/>
  <c r="H30" i="35" s="1"/>
  <c r="D31" i="35"/>
  <c r="H31" i="35" s="1"/>
  <c r="D32" i="35"/>
  <c r="H32" i="35" s="1"/>
  <c r="D33" i="35"/>
  <c r="H33" i="35" s="1"/>
  <c r="D34" i="35"/>
  <c r="H34" i="35" s="1"/>
  <c r="D35" i="35"/>
  <c r="H35" i="35" s="1"/>
  <c r="D36" i="35"/>
  <c r="H36" i="35" s="1"/>
  <c r="D37" i="35"/>
  <c r="H37" i="35" s="1"/>
  <c r="D38" i="35"/>
  <c r="H38" i="35" s="1"/>
  <c r="D39" i="35"/>
  <c r="H39" i="35" s="1"/>
  <c r="D40" i="35"/>
  <c r="D41" i="35"/>
  <c r="H41" i="35" s="1"/>
  <c r="D42" i="35"/>
  <c r="H42" i="35" s="1"/>
  <c r="D43" i="35"/>
  <c r="H43" i="35" s="1"/>
  <c r="D44" i="35"/>
  <c r="H44" i="35" s="1"/>
  <c r="D45" i="35"/>
  <c r="H45" i="35" s="1"/>
  <c r="D12" i="35"/>
  <c r="H16" i="35"/>
  <c r="B14" i="35"/>
  <c r="C15" i="37" s="1"/>
  <c r="B15" i="35"/>
  <c r="C16" i="37" s="1"/>
  <c r="B16" i="35"/>
  <c r="C17" i="37" s="1"/>
  <c r="B17" i="35"/>
  <c r="C18" i="37" s="1"/>
  <c r="B18" i="35"/>
  <c r="C19" i="37" s="1"/>
  <c r="B19" i="35"/>
  <c r="C20" i="37" s="1"/>
  <c r="B20" i="35"/>
  <c r="C21" i="37" s="1"/>
  <c r="B21" i="35"/>
  <c r="C22" i="37" s="1"/>
  <c r="B22" i="35"/>
  <c r="C23" i="37" s="1"/>
  <c r="B23" i="35"/>
  <c r="C24" i="37" s="1"/>
  <c r="B24" i="35"/>
  <c r="C25" i="37" s="1"/>
  <c r="B25" i="35"/>
  <c r="C26" i="37" s="1"/>
  <c r="B26" i="35"/>
  <c r="C27" i="37" s="1"/>
  <c r="B27" i="35"/>
  <c r="C28" i="37" s="1"/>
  <c r="B28" i="35"/>
  <c r="C29" i="37" s="1"/>
  <c r="B29" i="35"/>
  <c r="C30" i="37" s="1"/>
  <c r="B30" i="35"/>
  <c r="C31" i="37" s="1"/>
  <c r="B31" i="35"/>
  <c r="C32" i="37" s="1"/>
  <c r="B32" i="35"/>
  <c r="C33" i="37" s="1"/>
  <c r="B33" i="35"/>
  <c r="C34" i="37" s="1"/>
  <c r="B34" i="35"/>
  <c r="C35" i="37" s="1"/>
  <c r="B35" i="35"/>
  <c r="C36" i="37" s="1"/>
  <c r="B36" i="35"/>
  <c r="C37" i="37" s="1"/>
  <c r="B37" i="35"/>
  <c r="C38" i="37" s="1"/>
  <c r="B38" i="35"/>
  <c r="C39" i="37" s="1"/>
  <c r="B39" i="35"/>
  <c r="C40" i="37" s="1"/>
  <c r="B40" i="35"/>
  <c r="C41" i="37" s="1"/>
  <c r="B41" i="35"/>
  <c r="C42" i="37" s="1"/>
  <c r="B42" i="35"/>
  <c r="C43" i="37" s="1"/>
  <c r="B43" i="35"/>
  <c r="C44" i="37" s="1"/>
  <c r="B44" i="35"/>
  <c r="C45" i="37" s="1"/>
  <c r="B45" i="35"/>
  <c r="C46" i="37" s="1"/>
  <c r="B13" i="35"/>
  <c r="C14" i="37" s="1"/>
  <c r="C51" i="10"/>
  <c r="D51" i="10"/>
  <c r="E42" i="10"/>
  <c r="E43" i="10"/>
  <c r="E44" i="10"/>
  <c r="E45" i="10"/>
  <c r="E46" i="10"/>
  <c r="E50" i="10"/>
  <c r="F14" i="10"/>
  <c r="F42" i="10" s="1"/>
  <c r="I14" i="10"/>
  <c r="F43" i="10"/>
  <c r="I15" i="10"/>
  <c r="F16" i="10"/>
  <c r="F44" i="10" s="1"/>
  <c r="G16" i="10"/>
  <c r="I16" i="10" s="1"/>
  <c r="F17" i="10"/>
  <c r="F45" i="10" s="1"/>
  <c r="G17" i="10"/>
  <c r="I17" i="10" s="1"/>
  <c r="F18" i="10"/>
  <c r="F46" i="10" s="1"/>
  <c r="G18" i="10"/>
  <c r="I18" i="10" s="1"/>
  <c r="F22" i="10"/>
  <c r="F50" i="10" s="1"/>
  <c r="G22" i="10"/>
  <c r="I22" i="10" s="1"/>
  <c r="B14" i="31"/>
  <c r="D14" i="31"/>
  <c r="E14" i="31"/>
  <c r="I14" i="31"/>
  <c r="B15" i="31"/>
  <c r="D15" i="31"/>
  <c r="E15" i="31"/>
  <c r="I15" i="31"/>
  <c r="B16" i="31"/>
  <c r="D16" i="31"/>
  <c r="E16" i="31"/>
  <c r="I16" i="31"/>
  <c r="B17" i="31"/>
  <c r="D17" i="31"/>
  <c r="E17" i="31"/>
  <c r="I17" i="31"/>
  <c r="B18" i="31"/>
  <c r="D18" i="31"/>
  <c r="E18" i="31"/>
  <c r="I18" i="31"/>
  <c r="B22" i="31"/>
  <c r="D22" i="31"/>
  <c r="E22" i="31"/>
  <c r="I22" i="31"/>
  <c r="D13" i="31"/>
  <c r="E13" i="31"/>
  <c r="I13" i="31"/>
  <c r="I12" i="31"/>
  <c r="E12" i="31"/>
  <c r="D12" i="31"/>
  <c r="B13" i="31"/>
  <c r="M22" i="30"/>
  <c r="M18" i="30"/>
  <c r="M17" i="30"/>
  <c r="M16" i="30"/>
  <c r="M15" i="30"/>
  <c r="M14" i="30"/>
  <c r="M13" i="30"/>
  <c r="M12" i="30"/>
  <c r="B14" i="8"/>
  <c r="B14" i="10" s="1"/>
  <c r="B42" i="10" s="1"/>
  <c r="C14" i="8"/>
  <c r="F14" i="8"/>
  <c r="G14" i="8"/>
  <c r="B15" i="8"/>
  <c r="B15" i="10" s="1"/>
  <c r="B43" i="10" s="1"/>
  <c r="C15" i="8"/>
  <c r="F15" i="8"/>
  <c r="G15" i="8"/>
  <c r="B16" i="8"/>
  <c r="B16" i="10" s="1"/>
  <c r="B44" i="10" s="1"/>
  <c r="C16" i="8"/>
  <c r="F16" i="8"/>
  <c r="G16" i="8"/>
  <c r="I16" i="8" s="1"/>
  <c r="B17" i="8"/>
  <c r="B17" i="10" s="1"/>
  <c r="B45" i="10" s="1"/>
  <c r="C17" i="8"/>
  <c r="F17" i="8"/>
  <c r="G17" i="8"/>
  <c r="I17" i="8" s="1"/>
  <c r="B18" i="8"/>
  <c r="B18" i="10" s="1"/>
  <c r="B46" i="10" s="1"/>
  <c r="C18" i="8"/>
  <c r="F18" i="8"/>
  <c r="G18" i="8"/>
  <c r="B22" i="8"/>
  <c r="B22" i="10" s="1"/>
  <c r="B50" i="10" s="1"/>
  <c r="C22" i="8"/>
  <c r="F22" i="8"/>
  <c r="G22" i="8"/>
  <c r="B13" i="8"/>
  <c r="K46" i="37" l="1"/>
  <c r="L46" i="37" s="1"/>
  <c r="K38" i="37"/>
  <c r="L38" i="37" s="1"/>
  <c r="N38" i="37" s="1"/>
  <c r="K13" i="37"/>
  <c r="L13" i="37" s="1"/>
  <c r="N13" i="37" s="1"/>
  <c r="K20" i="37"/>
  <c r="L20" i="37" s="1"/>
  <c r="N20" i="37" s="1"/>
  <c r="K28" i="37"/>
  <c r="L28" i="37" s="1"/>
  <c r="N28" i="37" s="1"/>
  <c r="K36" i="37"/>
  <c r="L36" i="37" s="1"/>
  <c r="K23" i="37"/>
  <c r="L23" i="37" s="1"/>
  <c r="N23" i="37" s="1"/>
  <c r="K45" i="37"/>
  <c r="L45" i="37" s="1"/>
  <c r="N45" i="37" s="1"/>
  <c r="K37" i="37"/>
  <c r="L37" i="37" s="1"/>
  <c r="N37" i="37" s="1"/>
  <c r="K41" i="37"/>
  <c r="L41" i="37" s="1"/>
  <c r="N41" i="37" s="1"/>
  <c r="K29" i="37"/>
  <c r="L29" i="37" s="1"/>
  <c r="N29" i="37" s="1"/>
  <c r="K35" i="37"/>
  <c r="L35" i="37" s="1"/>
  <c r="N35" i="37" s="1"/>
  <c r="K19" i="37"/>
  <c r="L19" i="37" s="1"/>
  <c r="N19" i="37" s="1"/>
  <c r="K43" i="37"/>
  <c r="L43" i="37" s="1"/>
  <c r="N43" i="37" s="1"/>
  <c r="K27" i="37"/>
  <c r="L27" i="37" s="1"/>
  <c r="N27" i="37" s="1"/>
  <c r="K31" i="37"/>
  <c r="L31" i="37" s="1"/>
  <c r="N31" i="37" s="1"/>
  <c r="K40" i="37"/>
  <c r="L40" i="37" s="1"/>
  <c r="N40" i="37" s="1"/>
  <c r="K33" i="37"/>
  <c r="L33" i="37" s="1"/>
  <c r="N33" i="37" s="1"/>
  <c r="K44" i="37"/>
  <c r="L44" i="37" s="1"/>
  <c r="N44" i="37" s="1"/>
  <c r="K14" i="37"/>
  <c r="L14" i="37" s="1"/>
  <c r="N14" i="37" s="1"/>
  <c r="K22" i="37"/>
  <c r="L22" i="37" s="1"/>
  <c r="N22" i="37" s="1"/>
  <c r="K30" i="37"/>
  <c r="L30" i="37" s="1"/>
  <c r="N30" i="37" s="1"/>
  <c r="N26" i="37"/>
  <c r="N36" i="37"/>
  <c r="K18" i="37"/>
  <c r="L18" i="37" s="1"/>
  <c r="N18" i="37" s="1"/>
  <c r="K34" i="37"/>
  <c r="L34" i="37" s="1"/>
  <c r="N34" i="37" s="1"/>
  <c r="K42" i="37"/>
  <c r="L42" i="37" s="1"/>
  <c r="N42" i="37" s="1"/>
  <c r="K21" i="37"/>
  <c r="L21" i="37" s="1"/>
  <c r="N21" i="37" s="1"/>
  <c r="K15" i="37"/>
  <c r="L15" i="37" s="1"/>
  <c r="N15" i="37" s="1"/>
  <c r="K39" i="37"/>
  <c r="L39" i="37" s="1"/>
  <c r="N39" i="37" s="1"/>
  <c r="K16" i="37"/>
  <c r="L16" i="37" s="1"/>
  <c r="N16" i="37" s="1"/>
  <c r="K24" i="37"/>
  <c r="L24" i="37" s="1"/>
  <c r="N24" i="37" s="1"/>
  <c r="K32" i="37"/>
  <c r="L32" i="37" s="1"/>
  <c r="N32" i="37" s="1"/>
  <c r="N46" i="37"/>
  <c r="K17" i="37"/>
  <c r="L17" i="37" s="1"/>
  <c r="N17" i="37" s="1"/>
  <c r="K25" i="37"/>
  <c r="L25" i="37" s="1"/>
  <c r="N25" i="37" s="1"/>
  <c r="I26" i="35"/>
  <c r="I22" i="35"/>
  <c r="I31" i="35"/>
  <c r="I14" i="35"/>
  <c r="I41" i="35"/>
  <c r="I18" i="35"/>
  <c r="I21" i="35"/>
  <c r="I37" i="35"/>
  <c r="I39" i="35"/>
  <c r="I45" i="35"/>
  <c r="I44" i="35"/>
  <c r="I30" i="35"/>
  <c r="I35" i="35"/>
  <c r="I32" i="35"/>
  <c r="I24" i="35"/>
  <c r="I34" i="35"/>
  <c r="I42" i="35"/>
  <c r="I17" i="35"/>
  <c r="J18" i="10"/>
  <c r="E22" i="8"/>
  <c r="E14" i="8"/>
  <c r="I23" i="35"/>
  <c r="I13" i="35"/>
  <c r="I36" i="35"/>
  <c r="I28" i="35"/>
  <c r="I15" i="35"/>
  <c r="I43" i="35"/>
  <c r="I38" i="35"/>
  <c r="I25" i="35"/>
  <c r="I33" i="35"/>
  <c r="I29" i="35"/>
  <c r="I16" i="35"/>
  <c r="H27" i="35"/>
  <c r="I27" i="35" s="1"/>
  <c r="H40" i="35"/>
  <c r="I40" i="35" s="1"/>
  <c r="H19" i="35"/>
  <c r="I19" i="35" s="1"/>
  <c r="H20" i="35"/>
  <c r="I20" i="35" s="1"/>
  <c r="H12" i="35"/>
  <c r="I12" i="35" s="1"/>
  <c r="J16" i="10"/>
  <c r="C31" i="35"/>
  <c r="D32" i="37" s="1"/>
  <c r="J17" i="10"/>
  <c r="C44" i="35"/>
  <c r="D45" i="37" s="1"/>
  <c r="C41" i="35"/>
  <c r="G50" i="10"/>
  <c r="I50" i="10" s="1"/>
  <c r="J50" i="10" s="1"/>
  <c r="C26" i="35" s="1"/>
  <c r="C23" i="35"/>
  <c r="G42" i="10"/>
  <c r="I42" i="10" s="1"/>
  <c r="J42" i="10" s="1"/>
  <c r="C14" i="35" s="1"/>
  <c r="C38" i="35"/>
  <c r="C35" i="35"/>
  <c r="C32" i="35"/>
  <c r="D33" i="37" s="1"/>
  <c r="C29" i="35"/>
  <c r="C20" i="35"/>
  <c r="D21" i="37" s="1"/>
  <c r="G45" i="10"/>
  <c r="I45" i="10" s="1"/>
  <c r="J45" i="10" s="1"/>
  <c r="C17" i="35" s="1"/>
  <c r="C42" i="35"/>
  <c r="C45" i="35"/>
  <c r="C39" i="35"/>
  <c r="C36" i="35"/>
  <c r="E36" i="35" s="1"/>
  <c r="C27" i="35"/>
  <c r="D28" i="37" s="1"/>
  <c r="C24" i="35"/>
  <c r="D25" i="37" s="1"/>
  <c r="G46" i="10"/>
  <c r="I46" i="10" s="1"/>
  <c r="J46" i="10" s="1"/>
  <c r="C18" i="35" s="1"/>
  <c r="G43" i="10"/>
  <c r="I43" i="10" s="1"/>
  <c r="J43" i="10" s="1"/>
  <c r="C15" i="35" s="1"/>
  <c r="C33" i="35"/>
  <c r="C30" i="35"/>
  <c r="C21" i="35"/>
  <c r="C43" i="35"/>
  <c r="D44" i="37" s="1"/>
  <c r="C40" i="35"/>
  <c r="D41" i="37" s="1"/>
  <c r="C25" i="35"/>
  <c r="C22" i="35"/>
  <c r="C37" i="35"/>
  <c r="D38" i="37" s="1"/>
  <c r="C34" i="35"/>
  <c r="C28" i="35"/>
  <c r="C19" i="35"/>
  <c r="D20" i="37" s="1"/>
  <c r="G44" i="10"/>
  <c r="I44" i="10" s="1"/>
  <c r="J44" i="10" s="1"/>
  <c r="C16" i="35" s="1"/>
  <c r="D17" i="37" s="1"/>
  <c r="J22" i="10"/>
  <c r="J14" i="10"/>
  <c r="J15" i="10"/>
  <c r="I14" i="8"/>
  <c r="E17" i="8"/>
  <c r="J17" i="8" s="1"/>
  <c r="I22" i="8"/>
  <c r="I15" i="8"/>
  <c r="I18" i="8"/>
  <c r="E15" i="8"/>
  <c r="E16" i="8"/>
  <c r="J16" i="8" s="1"/>
  <c r="E18" i="8"/>
  <c r="B22" i="3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6" i="40"/>
  <c r="B13" i="40"/>
  <c r="B14" i="33"/>
  <c r="I14" i="33"/>
  <c r="B15" i="33"/>
  <c r="I15" i="33"/>
  <c r="B16" i="33"/>
  <c r="I16" i="33"/>
  <c r="B17" i="33"/>
  <c r="I17" i="33"/>
  <c r="B18" i="33"/>
  <c r="I18" i="33"/>
  <c r="B13" i="33"/>
  <c r="I14" i="7"/>
  <c r="I15" i="7"/>
  <c r="I16" i="7"/>
  <c r="I17" i="7"/>
  <c r="I18" i="7"/>
  <c r="E14" i="7"/>
  <c r="E15" i="7"/>
  <c r="E16" i="7"/>
  <c r="E17" i="7"/>
  <c r="E18" i="7"/>
  <c r="J16" i="7" l="1"/>
  <c r="C16" i="33" s="1"/>
  <c r="E40" i="35"/>
  <c r="J40" i="35" s="1"/>
  <c r="L40" i="35" s="1"/>
  <c r="J22" i="8"/>
  <c r="C22" i="30" s="1"/>
  <c r="E27" i="35"/>
  <c r="J27" i="35" s="1"/>
  <c r="L27" i="35" s="1"/>
  <c r="D30" i="37"/>
  <c r="E29" i="35"/>
  <c r="J29" i="35" s="1"/>
  <c r="L29" i="35" s="1"/>
  <c r="J36" i="35"/>
  <c r="L36" i="35" s="1"/>
  <c r="E24" i="35"/>
  <c r="J24" i="35" s="1"/>
  <c r="L24" i="35" s="1"/>
  <c r="E44" i="35"/>
  <c r="J44" i="35" s="1"/>
  <c r="L44" i="35" s="1"/>
  <c r="E31" i="35"/>
  <c r="J31" i="35" s="1"/>
  <c r="L31" i="35" s="1"/>
  <c r="E37" i="35"/>
  <c r="J37" i="35" s="1"/>
  <c r="L37" i="35" s="1"/>
  <c r="E20" i="35"/>
  <c r="J20" i="35" s="1"/>
  <c r="L20" i="35" s="1"/>
  <c r="J17" i="7"/>
  <c r="C17" i="33" s="1"/>
  <c r="J14" i="8"/>
  <c r="C14" i="31" s="1"/>
  <c r="D26" i="37"/>
  <c r="E25" i="35"/>
  <c r="J25" i="35" s="1"/>
  <c r="L25" i="35" s="1"/>
  <c r="D36" i="37"/>
  <c r="E35" i="35"/>
  <c r="J35" i="35" s="1"/>
  <c r="L35" i="35" s="1"/>
  <c r="C16" i="30"/>
  <c r="I16" i="30" s="1"/>
  <c r="L16" i="30" s="1"/>
  <c r="C16" i="31"/>
  <c r="D35" i="37"/>
  <c r="E34" i="35"/>
  <c r="J34" i="35" s="1"/>
  <c r="L34" i="35" s="1"/>
  <c r="E19" i="35"/>
  <c r="J19" i="35" s="1"/>
  <c r="L19" i="35" s="1"/>
  <c r="D18" i="37"/>
  <c r="E17" i="35"/>
  <c r="J17" i="35" s="1"/>
  <c r="L17" i="35" s="1"/>
  <c r="E38" i="35"/>
  <c r="J38" i="35" s="1"/>
  <c r="L38" i="35" s="1"/>
  <c r="D39" i="37"/>
  <c r="C17" i="30"/>
  <c r="I17" i="30" s="1"/>
  <c r="L17" i="30" s="1"/>
  <c r="C17" i="31"/>
  <c r="E28" i="35"/>
  <c r="J28" i="35" s="1"/>
  <c r="L28" i="35" s="1"/>
  <c r="D29" i="37"/>
  <c r="D34" i="37"/>
  <c r="E33" i="35"/>
  <c r="J33" i="35" s="1"/>
  <c r="L33" i="35" s="1"/>
  <c r="E15" i="35"/>
  <c r="J15" i="35" s="1"/>
  <c r="L15" i="35" s="1"/>
  <c r="D16" i="37"/>
  <c r="E16" i="35"/>
  <c r="J16" i="35" s="1"/>
  <c r="L16" i="35" s="1"/>
  <c r="E32" i="35"/>
  <c r="J32" i="35" s="1"/>
  <c r="L32" i="35" s="1"/>
  <c r="E30" i="35"/>
  <c r="J30" i="35" s="1"/>
  <c r="L30" i="35" s="1"/>
  <c r="D31" i="37"/>
  <c r="D23" i="37"/>
  <c r="E22" i="35"/>
  <c r="J22" i="35" s="1"/>
  <c r="L22" i="35" s="1"/>
  <c r="E43" i="35"/>
  <c r="J43" i="35" s="1"/>
  <c r="L43" i="35" s="1"/>
  <c r="D24" i="37"/>
  <c r="E23" i="35"/>
  <c r="J23" i="35" s="1"/>
  <c r="L23" i="35" s="1"/>
  <c r="D40" i="37"/>
  <c r="E39" i="35"/>
  <c r="J39" i="35" s="1"/>
  <c r="L39" i="35" s="1"/>
  <c r="D27" i="37"/>
  <c r="E26" i="35"/>
  <c r="J26" i="35" s="1"/>
  <c r="L26" i="35" s="1"/>
  <c r="E21" i="35"/>
  <c r="J21" i="35" s="1"/>
  <c r="L21" i="35" s="1"/>
  <c r="D22" i="37"/>
  <c r="E42" i="35"/>
  <c r="J42" i="35" s="1"/>
  <c r="L42" i="35" s="1"/>
  <c r="D43" i="37"/>
  <c r="D15" i="37"/>
  <c r="E14" i="35"/>
  <c r="J14" i="35" s="1"/>
  <c r="L14" i="35" s="1"/>
  <c r="D37" i="37"/>
  <c r="J18" i="8"/>
  <c r="E41" i="35"/>
  <c r="J41" i="35" s="1"/>
  <c r="L41" i="35" s="1"/>
  <c r="D42" i="37"/>
  <c r="E45" i="35"/>
  <c r="J45" i="35" s="1"/>
  <c r="L45" i="35" s="1"/>
  <c r="D46" i="37"/>
  <c r="E18" i="35"/>
  <c r="J18" i="35" s="1"/>
  <c r="L18" i="35" s="1"/>
  <c r="D19" i="37"/>
  <c r="J15" i="8"/>
  <c r="J14" i="7"/>
  <c r="C14" i="33" s="1"/>
  <c r="J18" i="7"/>
  <c r="C18" i="33" s="1"/>
  <c r="J15" i="7"/>
  <c r="C15" i="33" s="1"/>
  <c r="I22" i="30" l="1"/>
  <c r="L22" i="30" s="1"/>
  <c r="C14" i="30"/>
  <c r="I14" i="30" s="1"/>
  <c r="L14" i="30" s="1"/>
  <c r="C22" i="31"/>
  <c r="G22" i="31" s="1"/>
  <c r="C18" i="30"/>
  <c r="I18" i="30" s="1"/>
  <c r="L18" i="30" s="1"/>
  <c r="C18" i="31"/>
  <c r="F16" i="31"/>
  <c r="G16" i="31"/>
  <c r="C15" i="30"/>
  <c r="I15" i="30" s="1"/>
  <c r="L15" i="30" s="1"/>
  <c r="C15" i="31"/>
  <c r="G17" i="31"/>
  <c r="F17" i="31"/>
  <c r="F14" i="31"/>
  <c r="G14" i="31"/>
  <c r="H16" i="31" l="1"/>
  <c r="J16" i="31" s="1"/>
  <c r="F22" i="31"/>
  <c r="H22" i="31" s="1"/>
  <c r="J22" i="31" s="1"/>
  <c r="H17" i="31"/>
  <c r="J17" i="31" s="1"/>
  <c r="F15" i="31"/>
  <c r="G15" i="31"/>
  <c r="F18" i="31"/>
  <c r="G18" i="31"/>
  <c r="H14" i="31"/>
  <c r="J14" i="31" s="1"/>
  <c r="H15" i="31" l="1"/>
  <c r="J15" i="31" s="1"/>
  <c r="H18" i="31"/>
  <c r="J18" i="31" s="1"/>
  <c r="R24" i="39"/>
  <c r="R23" i="39"/>
  <c r="R22" i="39"/>
  <c r="R21" i="39"/>
  <c r="R12" i="39"/>
  <c r="E40" i="10"/>
  <c r="E41" i="10"/>
  <c r="E39" i="10"/>
  <c r="I13" i="7" l="1"/>
  <c r="I12" i="7"/>
  <c r="G12" i="8"/>
  <c r="G13" i="8"/>
  <c r="F12" i="8"/>
  <c r="F13" i="8"/>
  <c r="I13" i="8" l="1"/>
  <c r="I12" i="8"/>
  <c r="N12" i="33"/>
  <c r="N13" i="33" s="1"/>
  <c r="N14" i="33" s="1"/>
  <c r="N15" i="33" s="1"/>
  <c r="N16" i="33" s="1"/>
  <c r="N17" i="33" s="1"/>
  <c r="N18" i="33" s="1"/>
  <c r="N22" i="33" s="1"/>
  <c r="A43" i="15"/>
  <c r="B43" i="15"/>
  <c r="C43" i="15"/>
  <c r="B35" i="16"/>
  <c r="B31" i="19"/>
  <c r="B30" i="39"/>
  <c r="B31" i="39"/>
  <c r="B29" i="39"/>
  <c r="B29" i="4"/>
  <c r="B31" i="4"/>
  <c r="B66" i="15"/>
  <c r="B47" i="14"/>
  <c r="C57" i="37"/>
  <c r="B55" i="35"/>
  <c r="B59" i="10"/>
  <c r="B29" i="31"/>
  <c r="B28" i="30"/>
  <c r="B52" i="40"/>
  <c r="B29" i="8"/>
  <c r="B28" i="33"/>
  <c r="E47" i="32"/>
  <c r="I24" i="32"/>
  <c r="D12" i="33"/>
  <c r="E12" i="33"/>
  <c r="N19" i="33" l="1"/>
  <c r="N20" i="33" s="1"/>
  <c r="N21" i="33" s="1"/>
  <c r="D13" i="33"/>
  <c r="D14" i="33" s="1"/>
  <c r="J14" i="33" s="1"/>
  <c r="D15" i="33" l="1"/>
  <c r="D16" i="33" s="1"/>
  <c r="P45" i="43"/>
  <c r="AH45" i="43" s="1"/>
  <c r="Z49" i="43"/>
  <c r="Z50" i="43" s="1"/>
  <c r="X49" i="43"/>
  <c r="X50" i="43" s="1"/>
  <c r="V49" i="43"/>
  <c r="V50" i="43" s="1"/>
  <c r="V51" i="43" s="1"/>
  <c r="T49" i="43"/>
  <c r="R49" i="43"/>
  <c r="R50" i="43" s="1"/>
  <c r="AD64" i="43"/>
  <c r="AD65" i="43" s="1"/>
  <c r="AD66" i="43" s="1"/>
  <c r="AE66" i="43" s="1"/>
  <c r="AB64" i="43"/>
  <c r="AB65" i="43" s="1"/>
  <c r="Z64" i="43"/>
  <c r="Z65" i="43" s="1"/>
  <c r="Z66" i="43" s="1"/>
  <c r="AA66" i="43" s="1"/>
  <c r="V64" i="43"/>
  <c r="V65" i="43" s="1"/>
  <c r="AF70" i="43"/>
  <c r="AF71" i="43" s="1"/>
  <c r="AF72" i="43" s="1"/>
  <c r="AD70" i="43"/>
  <c r="AD71" i="43" s="1"/>
  <c r="AH69" i="43"/>
  <c r="AG66" i="43"/>
  <c r="Y66" i="43"/>
  <c r="U66" i="43"/>
  <c r="S66" i="43"/>
  <c r="Q66" i="43"/>
  <c r="O66" i="43"/>
  <c r="M66" i="43"/>
  <c r="K66" i="43"/>
  <c r="AG65" i="43"/>
  <c r="Y65" i="43"/>
  <c r="U65" i="43"/>
  <c r="S65" i="43"/>
  <c r="Q65" i="43"/>
  <c r="O65" i="43"/>
  <c r="M65" i="43"/>
  <c r="K65" i="43"/>
  <c r="AH63" i="43"/>
  <c r="AG55" i="43"/>
  <c r="AE55" i="43"/>
  <c r="AC55" i="43"/>
  <c r="Q55" i="43"/>
  <c r="O55" i="43"/>
  <c r="M55" i="43"/>
  <c r="K55" i="43"/>
  <c r="AG54" i="43"/>
  <c r="AE54" i="43"/>
  <c r="AC54" i="43"/>
  <c r="Q54" i="43"/>
  <c r="O54" i="43"/>
  <c r="M54" i="43"/>
  <c r="K54" i="43"/>
  <c r="AG53" i="43"/>
  <c r="AE53" i="43"/>
  <c r="AC53" i="43"/>
  <c r="Q53" i="43"/>
  <c r="O53" i="43"/>
  <c r="M53" i="43"/>
  <c r="K53" i="43"/>
  <c r="AG50" i="43"/>
  <c r="AE50" i="43"/>
  <c r="AC50" i="43"/>
  <c r="Q50" i="43"/>
  <c r="O50" i="43"/>
  <c r="M50" i="43"/>
  <c r="K50" i="43"/>
  <c r="AH48" i="43"/>
  <c r="AH44" i="43"/>
  <c r="AH40" i="43"/>
  <c r="AH37" i="43"/>
  <c r="AH36" i="43"/>
  <c r="AH35" i="43"/>
  <c r="AH34" i="43"/>
  <c r="AH33" i="43"/>
  <c r="AH32" i="43"/>
  <c r="AH29" i="43"/>
  <c r="AH28" i="43"/>
  <c r="AH27" i="43"/>
  <c r="AH24" i="43"/>
  <c r="AH23" i="43"/>
  <c r="AH22" i="43"/>
  <c r="AH21" i="43"/>
  <c r="AH20" i="43"/>
  <c r="AH19" i="43"/>
  <c r="AH15" i="43"/>
  <c r="AG15" i="43"/>
  <c r="AE15" i="43"/>
  <c r="AC15" i="43"/>
  <c r="AA15" i="43"/>
  <c r="Y15" i="43"/>
  <c r="W15" i="43"/>
  <c r="U15" i="43"/>
  <c r="S15" i="43"/>
  <c r="Q15" i="43"/>
  <c r="O15" i="43"/>
  <c r="M15" i="43"/>
  <c r="K15" i="43"/>
  <c r="AH12" i="43"/>
  <c r="AH11" i="43"/>
  <c r="AH10" i="43"/>
  <c r="L85" i="43"/>
  <c r="B78" i="43"/>
  <c r="B77" i="43"/>
  <c r="H74" i="43"/>
  <c r="E73" i="43"/>
  <c r="D73" i="43"/>
  <c r="B73" i="43"/>
  <c r="E70" i="43"/>
  <c r="D70" i="43"/>
  <c r="B70" i="43"/>
  <c r="E69" i="43"/>
  <c r="D69" i="43"/>
  <c r="B69" i="43"/>
  <c r="H67" i="43"/>
  <c r="G66" i="43"/>
  <c r="G65" i="43"/>
  <c r="H61" i="43"/>
  <c r="E58" i="43"/>
  <c r="D58" i="43"/>
  <c r="B58" i="43"/>
  <c r="E57" i="43"/>
  <c r="D57" i="43"/>
  <c r="B57" i="43"/>
  <c r="E56" i="43"/>
  <c r="D56" i="43"/>
  <c r="B56" i="43"/>
  <c r="G55" i="43"/>
  <c r="G54" i="43"/>
  <c r="G53" i="43"/>
  <c r="G50" i="43"/>
  <c r="H46" i="43"/>
  <c r="H41" i="43"/>
  <c r="H38" i="43"/>
  <c r="H30" i="43"/>
  <c r="H25" i="43"/>
  <c r="H16" i="43"/>
  <c r="G15" i="43"/>
  <c r="D15" i="43"/>
  <c r="H13" i="43"/>
  <c r="F10" i="43"/>
  <c r="G10" i="43" s="1"/>
  <c r="A6" i="43"/>
  <c r="A5" i="43"/>
  <c r="B4" i="43"/>
  <c r="A4" i="43"/>
  <c r="B3" i="43"/>
  <c r="A3" i="43"/>
  <c r="D2" i="43"/>
  <c r="D1" i="43"/>
  <c r="A1" i="43"/>
  <c r="AH49" i="43" l="1"/>
  <c r="J15" i="33"/>
  <c r="X51" i="43"/>
  <c r="Y50" i="43"/>
  <c r="AA50" i="43"/>
  <c r="Z51" i="43"/>
  <c r="R51" i="43"/>
  <c r="R52" i="43" s="1"/>
  <c r="R53" i="43" s="1"/>
  <c r="S50" i="43"/>
  <c r="AB66" i="43"/>
  <c r="AC66" i="43" s="1"/>
  <c r="AC65" i="43"/>
  <c r="V66" i="43"/>
  <c r="W66" i="43" s="1"/>
  <c r="W65" i="43"/>
  <c r="AH71" i="43"/>
  <c r="AD72" i="43"/>
  <c r="AD73" i="43" s="1"/>
  <c r="H75" i="43"/>
  <c r="I18" i="43" s="1"/>
  <c r="AE65" i="43"/>
  <c r="W50" i="43"/>
  <c r="AH70" i="43"/>
  <c r="T50" i="43"/>
  <c r="AA65" i="43"/>
  <c r="AH65" i="43"/>
  <c r="J16" i="33"/>
  <c r="D17" i="33"/>
  <c r="Y10" i="43"/>
  <c r="AA10" i="43"/>
  <c r="AC10" i="43"/>
  <c r="O10" i="43"/>
  <c r="AE10" i="43"/>
  <c r="Q10" i="43"/>
  <c r="AG10" i="43"/>
  <c r="S10" i="43"/>
  <c r="U10" i="43"/>
  <c r="W10" i="43"/>
  <c r="Z52" i="43"/>
  <c r="X52" i="43"/>
  <c r="V52" i="43"/>
  <c r="AH64" i="43"/>
  <c r="AH66" i="43"/>
  <c r="AH72" i="43"/>
  <c r="AF73" i="43"/>
  <c r="AI15" i="43"/>
  <c r="K10" i="43"/>
  <c r="M10" i="43"/>
  <c r="L86" i="43" l="1"/>
  <c r="I43" i="43"/>
  <c r="I15" i="43"/>
  <c r="AH73" i="43"/>
  <c r="I10" i="43"/>
  <c r="AI66" i="43"/>
  <c r="AI65" i="43"/>
  <c r="T51" i="43"/>
  <c r="T52" i="43" s="1"/>
  <c r="T53" i="43" s="1"/>
  <c r="T54" i="43" s="1"/>
  <c r="U50" i="43"/>
  <c r="AI50" i="43" s="1"/>
  <c r="AH50" i="43"/>
  <c r="D18" i="33"/>
  <c r="J17" i="33"/>
  <c r="AI10" i="43"/>
  <c r="Z53" i="43"/>
  <c r="X53" i="43"/>
  <c r="V53" i="43"/>
  <c r="S53" i="43"/>
  <c r="R54" i="43"/>
  <c r="AH52" i="43" l="1"/>
  <c r="I75" i="43"/>
  <c r="D19" i="33"/>
  <c r="U53" i="43"/>
  <c r="AH51" i="43"/>
  <c r="J18" i="33"/>
  <c r="Z54" i="43"/>
  <c r="AA53" i="43"/>
  <c r="AH53" i="43"/>
  <c r="X54" i="43"/>
  <c r="Y53" i="43"/>
  <c r="V54" i="43"/>
  <c r="W53" i="43"/>
  <c r="T55" i="43"/>
  <c r="U54" i="43"/>
  <c r="R55" i="43"/>
  <c r="S54" i="43"/>
  <c r="D20" i="33" l="1"/>
  <c r="J19" i="33"/>
  <c r="AH54" i="43"/>
  <c r="AI53" i="43"/>
  <c r="AA54" i="43"/>
  <c r="Z55" i="43"/>
  <c r="X55" i="43"/>
  <c r="Y54" i="43"/>
  <c r="W54" i="43"/>
  <c r="V55" i="43"/>
  <c r="T56" i="43"/>
  <c r="U55" i="43"/>
  <c r="R56" i="43"/>
  <c r="S55" i="43"/>
  <c r="C31" i="15"/>
  <c r="B31" i="15"/>
  <c r="A31" i="15"/>
  <c r="A32" i="15"/>
  <c r="B32" i="15"/>
  <c r="C32" i="15"/>
  <c r="D21" i="33" l="1"/>
  <c r="J20" i="33"/>
  <c r="AI54" i="43"/>
  <c r="AA55" i="43"/>
  <c r="Z56" i="43"/>
  <c r="Y55" i="43"/>
  <c r="X56" i="43"/>
  <c r="W55" i="43"/>
  <c r="V56" i="43"/>
  <c r="AH55" i="43"/>
  <c r="T57" i="43"/>
  <c r="R57" i="43"/>
  <c r="J21" i="33" l="1"/>
  <c r="D22" i="33"/>
  <c r="AI55" i="43"/>
  <c r="Z57" i="43"/>
  <c r="AH56" i="43"/>
  <c r="X57" i="43"/>
  <c r="V57" i="43"/>
  <c r="T58" i="43"/>
  <c r="R58" i="43"/>
  <c r="J22" i="33" l="1"/>
  <c r="AH57" i="43"/>
  <c r="Z58" i="43"/>
  <c r="X58" i="43"/>
  <c r="V58" i="43"/>
  <c r="T59" i="43"/>
  <c r="R59" i="43"/>
  <c r="F20" i="14"/>
  <c r="F18" i="14"/>
  <c r="I38" i="14"/>
  <c r="I40" i="14" l="1"/>
  <c r="E59" i="15" s="1"/>
  <c r="AH58" i="43"/>
  <c r="Z59" i="43"/>
  <c r="X59" i="43"/>
  <c r="V59" i="43"/>
  <c r="T60" i="43"/>
  <c r="R60" i="43"/>
  <c r="D13" i="14"/>
  <c r="A61" i="15"/>
  <c r="A62" i="15"/>
  <c r="A60" i="15"/>
  <c r="A59" i="15"/>
  <c r="C60" i="15"/>
  <c r="B60" i="15"/>
  <c r="AH59" i="43" l="1"/>
  <c r="F66" i="1"/>
  <c r="F69" i="43"/>
  <c r="Z60" i="43"/>
  <c r="X60" i="43"/>
  <c r="V60" i="43"/>
  <c r="G69" i="43" l="1"/>
  <c r="AC69" i="43"/>
  <c r="M69" i="43"/>
  <c r="AA69" i="43"/>
  <c r="K69" i="43"/>
  <c r="U69" i="43"/>
  <c r="O69" i="43"/>
  <c r="Y69" i="43"/>
  <c r="W69" i="43"/>
  <c r="S69" i="43"/>
  <c r="AG69" i="43"/>
  <c r="Q69" i="43"/>
  <c r="AE69" i="43"/>
  <c r="AH60" i="43"/>
  <c r="E38" i="10"/>
  <c r="E37" i="10"/>
  <c r="E36" i="10"/>
  <c r="E35" i="10"/>
  <c r="E33" i="10"/>
  <c r="E32" i="10"/>
  <c r="E31" i="10"/>
  <c r="E30" i="10"/>
  <c r="C56" i="15"/>
  <c r="B56" i="15"/>
  <c r="A56" i="15"/>
  <c r="E51" i="10" l="1"/>
  <c r="AI69" i="43"/>
  <c r="E13" i="33" l="1"/>
  <c r="E14" i="33" s="1"/>
  <c r="C16" i="12"/>
  <c r="E24" i="15" s="1"/>
  <c r="F16" i="12"/>
  <c r="E16" i="12"/>
  <c r="E26" i="15" s="1"/>
  <c r="F28" i="1" s="1"/>
  <c r="E15" i="33" l="1"/>
  <c r="K14" i="33"/>
  <c r="L14" i="33" s="1"/>
  <c r="E13" i="7"/>
  <c r="E14" i="32" l="1"/>
  <c r="E16" i="33"/>
  <c r="K15" i="33"/>
  <c r="L15" i="33" s="1"/>
  <c r="P15" i="33" l="1"/>
  <c r="P14" i="33"/>
  <c r="E17" i="33"/>
  <c r="K16" i="33"/>
  <c r="L16" i="33" s="1"/>
  <c r="F42" i="11"/>
  <c r="F41" i="11"/>
  <c r="F40" i="11"/>
  <c r="F39" i="11"/>
  <c r="F38" i="11"/>
  <c r="E15" i="32" l="1"/>
  <c r="E16" i="32"/>
  <c r="E18" i="33"/>
  <c r="E22" i="33" s="1"/>
  <c r="K17" i="33"/>
  <c r="L17" i="33" s="1"/>
  <c r="P16" i="33"/>
  <c r="F13" i="19"/>
  <c r="K22" i="33" l="1"/>
  <c r="L22" i="33" s="1"/>
  <c r="P22" i="33" s="1"/>
  <c r="E19" i="33"/>
  <c r="E17" i="32"/>
  <c r="P17" i="33"/>
  <c r="K18" i="33"/>
  <c r="L18" i="33" s="1"/>
  <c r="E20" i="33" l="1"/>
  <c r="K19" i="33"/>
  <c r="L19" i="33" s="1"/>
  <c r="E18" i="32"/>
  <c r="E19" i="32" l="1"/>
  <c r="P19" i="33"/>
  <c r="E21" i="33"/>
  <c r="K21" i="33" s="1"/>
  <c r="L21" i="33" s="1"/>
  <c r="K20" i="33"/>
  <c r="L20" i="33" s="1"/>
  <c r="P18" i="33"/>
  <c r="E20" i="32" l="1"/>
  <c r="P20" i="33"/>
  <c r="E21" i="32"/>
  <c r="P21" i="33"/>
  <c r="B51" i="40"/>
  <c r="B50" i="40"/>
  <c r="B12" i="40"/>
  <c r="B11" i="40"/>
  <c r="A10" i="40"/>
  <c r="F5" i="40"/>
  <c r="B4" i="40"/>
  <c r="H3" i="40"/>
  <c r="B3" i="40"/>
  <c r="A2" i="40"/>
  <c r="A1" i="40"/>
  <c r="F12" i="43"/>
  <c r="G12" i="43" l="1"/>
  <c r="AE12" i="43"/>
  <c r="S12" i="43"/>
  <c r="AG12" i="43"/>
  <c r="AA12" i="43"/>
  <c r="Y12" i="43"/>
  <c r="U12" i="43"/>
  <c r="M12" i="43"/>
  <c r="O12" i="43"/>
  <c r="AC12" i="43"/>
  <c r="Q12" i="43"/>
  <c r="W12" i="43"/>
  <c r="K12" i="43"/>
  <c r="AI12" i="43" l="1"/>
  <c r="B35" i="10"/>
  <c r="C51" i="11" l="1"/>
  <c r="B51" i="11"/>
  <c r="G84" i="11"/>
  <c r="F84" i="11"/>
  <c r="E84" i="11"/>
  <c r="C84" i="11"/>
  <c r="B84" i="11"/>
  <c r="E17" i="11"/>
  <c r="E31" i="11" s="1"/>
  <c r="C67" i="11"/>
  <c r="B67" i="11"/>
  <c r="F32" i="11"/>
  <c r="F33" i="11"/>
  <c r="F34" i="11"/>
  <c r="F35" i="11"/>
  <c r="F36" i="11"/>
  <c r="F31" i="11"/>
  <c r="G36" i="11"/>
  <c r="C31" i="11"/>
  <c r="B31" i="11"/>
  <c r="G17" i="11"/>
  <c r="G51" i="11" s="1"/>
  <c r="G31" i="11" l="1"/>
  <c r="E51" i="11"/>
  <c r="F38" i="10"/>
  <c r="F37" i="10"/>
  <c r="F36" i="10"/>
  <c r="F35" i="10"/>
  <c r="B38" i="10"/>
  <c r="B37" i="10"/>
  <c r="B36" i="10"/>
  <c r="A10" i="33"/>
  <c r="G35" i="10" l="1"/>
  <c r="I35" i="10" s="1"/>
  <c r="J35" i="10" s="1"/>
  <c r="G37" i="10"/>
  <c r="I37" i="10" s="1"/>
  <c r="J37" i="10" s="1"/>
  <c r="G36" i="10"/>
  <c r="I36" i="10" s="1"/>
  <c r="J36" i="10" s="1"/>
  <c r="G38" i="10"/>
  <c r="I38" i="10" s="1"/>
  <c r="J38" i="10" s="1"/>
  <c r="E94" i="11"/>
  <c r="E95" i="11" s="1"/>
  <c r="E96" i="11" s="1"/>
  <c r="E97" i="11" s="1"/>
  <c r="E98" i="11" s="1"/>
  <c r="C89" i="11"/>
  <c r="B89" i="11"/>
  <c r="G88" i="11"/>
  <c r="F88" i="11"/>
  <c r="E88" i="11"/>
  <c r="C88" i="11"/>
  <c r="B88" i="11"/>
  <c r="G87" i="11"/>
  <c r="F87" i="11"/>
  <c r="E87" i="11"/>
  <c r="C87" i="11"/>
  <c r="B87" i="11"/>
  <c r="G86" i="11"/>
  <c r="F86" i="11"/>
  <c r="E86" i="11"/>
  <c r="C86" i="11"/>
  <c r="B86" i="11"/>
  <c r="G85" i="11"/>
  <c r="F85" i="11"/>
  <c r="E85" i="11"/>
  <c r="C85" i="11"/>
  <c r="B85" i="11"/>
  <c r="G83" i="11"/>
  <c r="E83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2" i="11"/>
  <c r="B72" i="11"/>
  <c r="C71" i="11"/>
  <c r="B71" i="11"/>
  <c r="C70" i="11"/>
  <c r="B70" i="11"/>
  <c r="C69" i="11"/>
  <c r="B69" i="11"/>
  <c r="C68" i="11"/>
  <c r="B68" i="11"/>
  <c r="F66" i="11"/>
  <c r="F83" i="11" s="1"/>
  <c r="C66" i="11"/>
  <c r="B66" i="11"/>
  <c r="I65" i="11"/>
  <c r="C65" i="11"/>
  <c r="B65" i="11"/>
  <c r="I64" i="11"/>
  <c r="C64" i="11"/>
  <c r="B64" i="11"/>
  <c r="I63" i="11"/>
  <c r="C63" i="11"/>
  <c r="B63" i="11"/>
  <c r="I62" i="11"/>
  <c r="C62" i="11"/>
  <c r="B62" i="11"/>
  <c r="I61" i="11"/>
  <c r="C61" i="11"/>
  <c r="B61" i="11"/>
  <c r="I60" i="11"/>
  <c r="C60" i="11"/>
  <c r="B60" i="11"/>
  <c r="G56" i="11"/>
  <c r="E56" i="11"/>
  <c r="C56" i="11"/>
  <c r="B56" i="11"/>
  <c r="C55" i="11"/>
  <c r="B55" i="11"/>
  <c r="C54" i="11"/>
  <c r="B54" i="11"/>
  <c r="C53" i="11"/>
  <c r="B53" i="11"/>
  <c r="C52" i="11"/>
  <c r="B52" i="11"/>
  <c r="G50" i="11"/>
  <c r="E50" i="11"/>
  <c r="C50" i="11"/>
  <c r="B50" i="11"/>
  <c r="E49" i="11"/>
  <c r="C49" i="11"/>
  <c r="B49" i="11"/>
  <c r="E48" i="11"/>
  <c r="C48" i="11"/>
  <c r="B48" i="11"/>
  <c r="E47" i="11"/>
  <c r="C47" i="11"/>
  <c r="B47" i="11"/>
  <c r="E46" i="11"/>
  <c r="C46" i="11"/>
  <c r="B46" i="11"/>
  <c r="E45" i="11"/>
  <c r="C45" i="11"/>
  <c r="B45" i="11"/>
  <c r="E44" i="11"/>
  <c r="C44" i="11"/>
  <c r="B44" i="11"/>
  <c r="J39" i="11"/>
  <c r="J40" i="11" s="1"/>
  <c r="J41" i="11" s="1"/>
  <c r="J42" i="11" s="1"/>
  <c r="E36" i="11"/>
  <c r="C36" i="11"/>
  <c r="B36" i="11"/>
  <c r="C35" i="11"/>
  <c r="B35" i="11"/>
  <c r="C34" i="11"/>
  <c r="B34" i="11"/>
  <c r="C33" i="11"/>
  <c r="B33" i="11"/>
  <c r="C32" i="11"/>
  <c r="B32" i="11"/>
  <c r="F30" i="11"/>
  <c r="E30" i="11"/>
  <c r="C30" i="11"/>
  <c r="B30" i="11"/>
  <c r="F29" i="11"/>
  <c r="E29" i="11"/>
  <c r="C29" i="11"/>
  <c r="B29" i="11"/>
  <c r="F28" i="11"/>
  <c r="E28" i="11"/>
  <c r="C28" i="11"/>
  <c r="B28" i="11"/>
  <c r="F27" i="11"/>
  <c r="E27" i="11"/>
  <c r="C27" i="11"/>
  <c r="B27" i="11"/>
  <c r="F26" i="11"/>
  <c r="E26" i="11"/>
  <c r="C26" i="11"/>
  <c r="B26" i="11"/>
  <c r="F25" i="11"/>
  <c r="E25" i="11"/>
  <c r="C25" i="11"/>
  <c r="B25" i="11"/>
  <c r="F24" i="11"/>
  <c r="E24" i="11"/>
  <c r="C24" i="11"/>
  <c r="B24" i="11"/>
  <c r="G21" i="11"/>
  <c r="G35" i="11" s="1"/>
  <c r="E21" i="11"/>
  <c r="E55" i="11" s="1"/>
  <c r="G20" i="11"/>
  <c r="G34" i="11" s="1"/>
  <c r="E20" i="11"/>
  <c r="E34" i="11" s="1"/>
  <c r="G19" i="11"/>
  <c r="E19" i="11"/>
  <c r="E53" i="11" s="1"/>
  <c r="G18" i="11"/>
  <c r="E18" i="11"/>
  <c r="C21" i="15"/>
  <c r="B21" i="15"/>
  <c r="A21" i="15"/>
  <c r="G52" i="11" l="1"/>
  <c r="G32" i="11"/>
  <c r="G53" i="11"/>
  <c r="G33" i="11"/>
  <c r="E54" i="11"/>
  <c r="E35" i="11"/>
  <c r="E52" i="11"/>
  <c r="E32" i="11"/>
  <c r="G55" i="11"/>
  <c r="G54" i="11"/>
  <c r="E33" i="11"/>
  <c r="E22" i="32" l="1"/>
  <c r="C57" i="15"/>
  <c r="B57" i="15"/>
  <c r="A57" i="15"/>
  <c r="M12" i="37"/>
  <c r="I12" i="37"/>
  <c r="K12" i="37" s="1"/>
  <c r="L12" i="37" s="1"/>
  <c r="A10" i="8"/>
  <c r="N12" i="37" l="1"/>
  <c r="F11" i="43"/>
  <c r="G11" i="43" l="1"/>
  <c r="AC11" i="43"/>
  <c r="O11" i="43"/>
  <c r="S11" i="43"/>
  <c r="AE11" i="43"/>
  <c r="W11" i="43"/>
  <c r="K11" i="43"/>
  <c r="AA11" i="43"/>
  <c r="Q11" i="43"/>
  <c r="U11" i="43"/>
  <c r="M11" i="43"/>
  <c r="AG11" i="43"/>
  <c r="Y11" i="43"/>
  <c r="A2" i="34"/>
  <c r="B4" i="16"/>
  <c r="A6" i="16"/>
  <c r="A5" i="16"/>
  <c r="E4" i="16"/>
  <c r="D4" i="16"/>
  <c r="A4" i="16"/>
  <c r="G3" i="16"/>
  <c r="E3" i="16"/>
  <c r="B3" i="16"/>
  <c r="A3" i="16"/>
  <c r="A2" i="16"/>
  <c r="A1" i="16"/>
  <c r="A2" i="19"/>
  <c r="A2" i="39"/>
  <c r="A22" i="4"/>
  <c r="A21" i="4"/>
  <c r="A20" i="4"/>
  <c r="A19" i="4"/>
  <c r="A18" i="4"/>
  <c r="A2" i="4"/>
  <c r="A2" i="1"/>
  <c r="A2" i="15"/>
  <c r="A2" i="14"/>
  <c r="A2" i="37"/>
  <c r="A2" i="35"/>
  <c r="A2" i="31"/>
  <c r="A2" i="30"/>
  <c r="A2" i="8"/>
  <c r="A4" i="1"/>
  <c r="A5" i="1"/>
  <c r="A6" i="1"/>
  <c r="A6" i="44" s="1"/>
  <c r="A3" i="1"/>
  <c r="A3" i="44" l="1"/>
  <c r="A3" i="46"/>
  <c r="A3" i="45"/>
  <c r="A5" i="44"/>
  <c r="A5" i="45"/>
  <c r="A5" i="46"/>
  <c r="A2" i="44"/>
  <c r="A2" i="46"/>
  <c r="A2" i="45"/>
  <c r="A4" i="44"/>
  <c r="A4" i="46"/>
  <c r="A4" i="45"/>
  <c r="AI11" i="43"/>
  <c r="A10" i="35" l="1"/>
  <c r="B11" i="37" s="1"/>
  <c r="A10" i="10"/>
  <c r="A29" i="10" s="1"/>
  <c r="A10" i="31"/>
  <c r="G11" i="8"/>
  <c r="I11" i="8" s="1"/>
  <c r="F11" i="8"/>
  <c r="F15" i="19"/>
  <c r="F17" i="19" s="1"/>
  <c r="J6" i="1" s="1"/>
  <c r="E13" i="10"/>
  <c r="G13" i="10"/>
  <c r="G41" i="10" s="1"/>
  <c r="I41" i="10" s="1"/>
  <c r="J41" i="10" s="1"/>
  <c r="F13" i="10"/>
  <c r="B13" i="10"/>
  <c r="H11" i="1" l="1"/>
  <c r="I11" i="1" s="1"/>
  <c r="H12" i="1"/>
  <c r="I12" i="1" s="1"/>
  <c r="H14" i="1"/>
  <c r="I14" i="1" s="1"/>
  <c r="H13" i="1"/>
  <c r="I13" i="1" s="1"/>
  <c r="H58" i="1"/>
  <c r="H49" i="1"/>
  <c r="H57" i="1"/>
  <c r="H55" i="1"/>
  <c r="H36" i="1"/>
  <c r="H27" i="1"/>
  <c r="C13" i="35"/>
  <c r="D14" i="37" s="1"/>
  <c r="H62" i="1"/>
  <c r="H33" i="1"/>
  <c r="H21" i="1"/>
  <c r="H44" i="1"/>
  <c r="H19" i="1"/>
  <c r="H43" i="1"/>
  <c r="H22" i="1"/>
  <c r="H61" i="1"/>
  <c r="H47" i="1"/>
  <c r="H32" i="1"/>
  <c r="H20" i="1"/>
  <c r="H56" i="1"/>
  <c r="H31" i="1"/>
  <c r="H54" i="1"/>
  <c r="H18" i="1"/>
  <c r="H63" i="1"/>
  <c r="I63" i="1" s="1"/>
  <c r="H69" i="1"/>
  <c r="H51" i="1"/>
  <c r="H39" i="1"/>
  <c r="H28" i="1"/>
  <c r="H10" i="1"/>
  <c r="H48" i="1"/>
  <c r="H23" i="1"/>
  <c r="H34" i="1"/>
  <c r="H68" i="1"/>
  <c r="H50" i="1"/>
  <c r="H26" i="1"/>
  <c r="H35" i="1"/>
  <c r="H67" i="1"/>
  <c r="H66" i="1"/>
  <c r="I66" i="1" s="1"/>
  <c r="B33" i="10"/>
  <c r="B32" i="10"/>
  <c r="B41" i="10"/>
  <c r="F32" i="10"/>
  <c r="F41" i="10"/>
  <c r="F33" i="10"/>
  <c r="I27" i="32"/>
  <c r="I13" i="10"/>
  <c r="J13" i="10" s="1"/>
  <c r="G32" i="10"/>
  <c r="I32" i="10" s="1"/>
  <c r="J32" i="10" s="1"/>
  <c r="G33" i="10"/>
  <c r="I33" i="10" s="1"/>
  <c r="J33" i="10" s="1"/>
  <c r="J13" i="7"/>
  <c r="C13" i="33" s="1"/>
  <c r="J13" i="33" s="1"/>
  <c r="E13" i="8"/>
  <c r="J13" i="8" s="1"/>
  <c r="C13" i="30" s="1"/>
  <c r="I13" i="30" s="1"/>
  <c r="L13" i="30" s="1"/>
  <c r="E13" i="35" l="1"/>
  <c r="J13" i="35" s="1"/>
  <c r="L13" i="35" s="1"/>
  <c r="C13" i="31"/>
  <c r="D5" i="36"/>
  <c r="E4" i="36"/>
  <c r="B4" i="36"/>
  <c r="B3" i="36"/>
  <c r="A2" i="36"/>
  <c r="A1" i="36"/>
  <c r="A4" i="19"/>
  <c r="A5" i="19"/>
  <c r="A6" i="19"/>
  <c r="A3" i="19"/>
  <c r="D4" i="19"/>
  <c r="A24" i="39"/>
  <c r="A23" i="39"/>
  <c r="A22" i="39"/>
  <c r="A21" i="39"/>
  <c r="T20" i="39"/>
  <c r="A20" i="39"/>
  <c r="T19" i="39"/>
  <c r="A18" i="39"/>
  <c r="A17" i="39"/>
  <c r="A16" i="39"/>
  <c r="A15" i="39"/>
  <c r="T14" i="39"/>
  <c r="T13" i="39"/>
  <c r="A12" i="39"/>
  <c r="M5" i="39"/>
  <c r="B4" i="39"/>
  <c r="P3" i="39"/>
  <c r="B3" i="39"/>
  <c r="A1" i="39"/>
  <c r="M5" i="2"/>
  <c r="C5" i="4"/>
  <c r="C5" i="15"/>
  <c r="F5" i="14"/>
  <c r="I3" i="14"/>
  <c r="B4" i="14"/>
  <c r="B3" i="14"/>
  <c r="A1" i="14"/>
  <c r="F5" i="37"/>
  <c r="I3" i="37"/>
  <c r="B4" i="37"/>
  <c r="B3" i="37"/>
  <c r="A1" i="37"/>
  <c r="F5" i="35"/>
  <c r="I4" i="35"/>
  <c r="B4" i="35"/>
  <c r="B3" i="35"/>
  <c r="A1" i="35"/>
  <c r="F5" i="10"/>
  <c r="I4" i="10"/>
  <c r="B4" i="10"/>
  <c r="B3" i="10"/>
  <c r="A2" i="10"/>
  <c r="A1" i="10"/>
  <c r="F5" i="31"/>
  <c r="I4" i="31"/>
  <c r="B4" i="31"/>
  <c r="B3" i="31"/>
  <c r="A1" i="31"/>
  <c r="K6" i="30"/>
  <c r="F5" i="8"/>
  <c r="F5" i="33"/>
  <c r="F5" i="32"/>
  <c r="G5" i="11"/>
  <c r="L5" i="12"/>
  <c r="G13" i="31" l="1"/>
  <c r="F13" i="31"/>
  <c r="H13" i="31" l="1"/>
  <c r="J13" i="31" s="1"/>
  <c r="A11" i="32"/>
  <c r="G32" i="14" l="1"/>
  <c r="G30" i="14"/>
  <c r="H11" i="35"/>
  <c r="C56" i="37" l="1"/>
  <c r="C55" i="37"/>
  <c r="I10" i="1" l="1"/>
  <c r="I15" i="1" s="1"/>
  <c r="F13" i="36" l="1"/>
  <c r="F14" i="36" s="1"/>
  <c r="F25" i="36" s="1"/>
  <c r="F17" i="36"/>
  <c r="F18" i="36"/>
  <c r="F19" i="36"/>
  <c r="F20" i="36"/>
  <c r="F21" i="36"/>
  <c r="F22" i="36"/>
  <c r="F24" i="36" l="1"/>
  <c r="F26" i="36" s="1"/>
  <c r="B30" i="36"/>
  <c r="B29" i="36"/>
  <c r="J16" i="12" l="1"/>
  <c r="E33" i="15" s="1"/>
  <c r="K16" i="12"/>
  <c r="E28" i="15" s="1"/>
  <c r="L16" i="12"/>
  <c r="M16" i="12"/>
  <c r="N16" i="12"/>
  <c r="O16" i="12"/>
  <c r="P16" i="12"/>
  <c r="D21" i="11" s="1"/>
  <c r="Q16" i="12"/>
  <c r="D16" i="12"/>
  <c r="D12" i="11"/>
  <c r="D13" i="11"/>
  <c r="G16" i="12"/>
  <c r="H16" i="12"/>
  <c r="D15" i="11" s="1"/>
  <c r="I16" i="12"/>
  <c r="E32" i="15" s="1"/>
  <c r="D11" i="11" l="1"/>
  <c r="L11" i="11" s="1"/>
  <c r="K61" i="11" s="1"/>
  <c r="E25" i="15"/>
  <c r="F27" i="1" s="1"/>
  <c r="I27" i="1" s="1"/>
  <c r="D17" i="11"/>
  <c r="D51" i="11" s="1"/>
  <c r="L51" i="11" s="1"/>
  <c r="D19" i="11"/>
  <c r="D86" i="11" s="1"/>
  <c r="J86" i="11" s="1"/>
  <c r="E29" i="15"/>
  <c r="F32" i="1" s="1"/>
  <c r="D14" i="11"/>
  <c r="D41" i="11" s="1"/>
  <c r="L41" i="11" s="1"/>
  <c r="D18" i="11"/>
  <c r="D85" i="11" s="1"/>
  <c r="J85" i="11" s="1"/>
  <c r="F36" i="1"/>
  <c r="I36" i="1" s="1"/>
  <c r="D16" i="11"/>
  <c r="D83" i="11" s="1"/>
  <c r="J83" i="11" s="1"/>
  <c r="D88" i="11"/>
  <c r="J88" i="11" s="1"/>
  <c r="D71" i="11"/>
  <c r="J71" i="11" s="1"/>
  <c r="L21" i="11"/>
  <c r="K71" i="11" s="1"/>
  <c r="D35" i="11"/>
  <c r="L35" i="11" s="1"/>
  <c r="K88" i="11" s="1"/>
  <c r="D55" i="11"/>
  <c r="L55" i="11" s="1"/>
  <c r="D98" i="11"/>
  <c r="L98" i="11" s="1"/>
  <c r="D42" i="11"/>
  <c r="L42" i="11" s="1"/>
  <c r="D49" i="11"/>
  <c r="L49" i="11" s="1"/>
  <c r="D29" i="11"/>
  <c r="L29" i="11" s="1"/>
  <c r="K82" i="11" s="1"/>
  <c r="L15" i="11"/>
  <c r="K65" i="11" s="1"/>
  <c r="D65" i="11"/>
  <c r="J65" i="11" s="1"/>
  <c r="D82" i="11"/>
  <c r="J82" i="11" s="1"/>
  <c r="D20" i="11"/>
  <c r="D22" i="11"/>
  <c r="D72" i="11" s="1"/>
  <c r="J72" i="11" s="1"/>
  <c r="D84" i="11"/>
  <c r="J84" i="11" s="1"/>
  <c r="D39" i="11"/>
  <c r="L39" i="11" s="1"/>
  <c r="D62" i="11"/>
  <c r="J62" i="11" s="1"/>
  <c r="D95" i="11"/>
  <c r="L95" i="11" s="1"/>
  <c r="D79" i="11"/>
  <c r="J79" i="11" s="1"/>
  <c r="D26" i="11"/>
  <c r="L26" i="11" s="1"/>
  <c r="K79" i="11" s="1"/>
  <c r="L12" i="11"/>
  <c r="K62" i="11" s="1"/>
  <c r="D46" i="11"/>
  <c r="L46" i="11" s="1"/>
  <c r="L13" i="11"/>
  <c r="D96" i="11"/>
  <c r="L96" i="11" s="1"/>
  <c r="D63" i="11"/>
  <c r="J63" i="11" s="1"/>
  <c r="D27" i="11"/>
  <c r="L27" i="11" s="1"/>
  <c r="D40" i="11"/>
  <c r="L40" i="11" s="1"/>
  <c r="D47" i="11"/>
  <c r="L47" i="11" s="1"/>
  <c r="D80" i="11"/>
  <c r="J80" i="11" s="1"/>
  <c r="B12" i="35"/>
  <c r="C13" i="37" s="1"/>
  <c r="C51" i="15"/>
  <c r="A51" i="15"/>
  <c r="B51" i="15"/>
  <c r="G12" i="10"/>
  <c r="G40" i="10" s="1"/>
  <c r="F12" i="10"/>
  <c r="L88" i="11" l="1"/>
  <c r="D25" i="11"/>
  <c r="L25" i="11" s="1"/>
  <c r="K78" i="11" s="1"/>
  <c r="D45" i="11"/>
  <c r="L45" i="11" s="1"/>
  <c r="D78" i="11"/>
  <c r="J78" i="11" s="1"/>
  <c r="L78" i="11" s="1"/>
  <c r="D94" i="11"/>
  <c r="L94" i="11" s="1"/>
  <c r="D61" i="11"/>
  <c r="J61" i="11" s="1"/>
  <c r="L61" i="11" s="1"/>
  <c r="D38" i="11"/>
  <c r="L38" i="11" s="1"/>
  <c r="L37" i="11" s="1"/>
  <c r="D28" i="11"/>
  <c r="L28" i="11" s="1"/>
  <c r="K81" i="11" s="1"/>
  <c r="L14" i="11"/>
  <c r="K64" i="11" s="1"/>
  <c r="D68" i="11"/>
  <c r="J68" i="11" s="1"/>
  <c r="D32" i="11"/>
  <c r="L32" i="11" s="1"/>
  <c r="K85" i="11" s="1"/>
  <c r="L85" i="11" s="1"/>
  <c r="L18" i="11"/>
  <c r="K68" i="11" s="1"/>
  <c r="L68" i="11" s="1"/>
  <c r="D52" i="11"/>
  <c r="L52" i="11" s="1"/>
  <c r="L19" i="11"/>
  <c r="K69" i="11" s="1"/>
  <c r="D33" i="11"/>
  <c r="L33" i="11" s="1"/>
  <c r="K86" i="11" s="1"/>
  <c r="L86" i="11" s="1"/>
  <c r="D53" i="11"/>
  <c r="L53" i="11" s="1"/>
  <c r="D69" i="11"/>
  <c r="J69" i="11" s="1"/>
  <c r="D97" i="11"/>
  <c r="L97" i="11" s="1"/>
  <c r="L17" i="11"/>
  <c r="K67" i="11" s="1"/>
  <c r="D31" i="11"/>
  <c r="L31" i="11" s="1"/>
  <c r="K84" i="11" s="1"/>
  <c r="L84" i="11" s="1"/>
  <c r="D64" i="11"/>
  <c r="J64" i="11" s="1"/>
  <c r="D48" i="11"/>
  <c r="L48" i="11" s="1"/>
  <c r="D67" i="11"/>
  <c r="J67" i="11" s="1"/>
  <c r="L67" i="11" s="1"/>
  <c r="D81" i="11"/>
  <c r="J81" i="11" s="1"/>
  <c r="L81" i="11" s="1"/>
  <c r="E30" i="15"/>
  <c r="E31" i="15" s="1"/>
  <c r="L16" i="11"/>
  <c r="K66" i="11" s="1"/>
  <c r="D30" i="11"/>
  <c r="L30" i="11" s="1"/>
  <c r="K83" i="11" s="1"/>
  <c r="L83" i="11" s="1"/>
  <c r="D66" i="11"/>
  <c r="J66" i="11" s="1"/>
  <c r="L71" i="11"/>
  <c r="D50" i="11"/>
  <c r="L50" i="11" s="1"/>
  <c r="I40" i="10"/>
  <c r="J40" i="10" s="1"/>
  <c r="F31" i="10"/>
  <c r="F40" i="10"/>
  <c r="F37" i="43"/>
  <c r="F35" i="1"/>
  <c r="I35" i="1" s="1"/>
  <c r="F36" i="43"/>
  <c r="I12" i="10"/>
  <c r="G31" i="10"/>
  <c r="I31" i="10" s="1"/>
  <c r="J31" i="10" s="1"/>
  <c r="D36" i="11"/>
  <c r="L36" i="11" s="1"/>
  <c r="K89" i="11" s="1"/>
  <c r="D56" i="11"/>
  <c r="L56" i="11" s="1"/>
  <c r="L22" i="11"/>
  <c r="K72" i="11" s="1"/>
  <c r="L72" i="11" s="1"/>
  <c r="D89" i="11"/>
  <c r="J89" i="11" s="1"/>
  <c r="L65" i="11"/>
  <c r="L82" i="11"/>
  <c r="D34" i="11"/>
  <c r="L34" i="11" s="1"/>
  <c r="K87" i="11" s="1"/>
  <c r="D70" i="11"/>
  <c r="J70" i="11" s="1"/>
  <c r="L20" i="11"/>
  <c r="K70" i="11" s="1"/>
  <c r="D87" i="11"/>
  <c r="J87" i="11" s="1"/>
  <c r="D54" i="11"/>
  <c r="L54" i="11" s="1"/>
  <c r="L62" i="11"/>
  <c r="L79" i="11"/>
  <c r="K80" i="11"/>
  <c r="L80" i="11" s="1"/>
  <c r="K63" i="11"/>
  <c r="L63" i="11" s="1"/>
  <c r="B12" i="31"/>
  <c r="L69" i="11" l="1"/>
  <c r="L64" i="11"/>
  <c r="L66" i="11"/>
  <c r="G36" i="43"/>
  <c r="AE36" i="43"/>
  <c r="S36" i="43"/>
  <c r="W36" i="43"/>
  <c r="K36" i="43"/>
  <c r="O36" i="43"/>
  <c r="AC36" i="43"/>
  <c r="AA36" i="43"/>
  <c r="Q36" i="43"/>
  <c r="U36" i="43"/>
  <c r="AG36" i="43"/>
  <c r="Y36" i="43"/>
  <c r="M36" i="43"/>
  <c r="G37" i="43"/>
  <c r="Y37" i="43"/>
  <c r="S37" i="43"/>
  <c r="U37" i="43"/>
  <c r="M37" i="43"/>
  <c r="AC37" i="43"/>
  <c r="Q37" i="43"/>
  <c r="K37" i="43"/>
  <c r="AG37" i="43"/>
  <c r="O37" i="43"/>
  <c r="AE37" i="43"/>
  <c r="W37" i="43"/>
  <c r="AA37" i="43"/>
  <c r="L89" i="11"/>
  <c r="L87" i="11"/>
  <c r="L70" i="11"/>
  <c r="B12" i="8"/>
  <c r="B12" i="10" s="1"/>
  <c r="E12" i="8"/>
  <c r="B12" i="33"/>
  <c r="E12" i="7"/>
  <c r="J12" i="7" s="1"/>
  <c r="C12" i="33" s="1"/>
  <c r="J12" i="33" s="1"/>
  <c r="J12" i="8" l="1"/>
  <c r="C12" i="30" s="1"/>
  <c r="I12" i="30" s="1"/>
  <c r="L12" i="30" s="1"/>
  <c r="B31" i="10"/>
  <c r="B40" i="10"/>
  <c r="AI36" i="43"/>
  <c r="AI37" i="43"/>
  <c r="C12" i="31" l="1"/>
  <c r="G12" i="31" s="1"/>
  <c r="K49" i="37"/>
  <c r="R77" i="2"/>
  <c r="B77" i="2"/>
  <c r="A77" i="2"/>
  <c r="B54" i="35"/>
  <c r="B53" i="35"/>
  <c r="G11" i="35"/>
  <c r="F11" i="35"/>
  <c r="B11" i="35"/>
  <c r="C12" i="37" s="1"/>
  <c r="F12" i="31" l="1"/>
  <c r="H12" i="31" s="1"/>
  <c r="I11" i="35"/>
  <c r="H52" i="1"/>
  <c r="F26" i="14" l="1"/>
  <c r="T74" i="2" l="1"/>
  <c r="T78" i="2"/>
  <c r="T54" i="2"/>
  <c r="T55" i="2"/>
  <c r="T56" i="2"/>
  <c r="T61" i="2"/>
  <c r="T44" i="2"/>
  <c r="T52" i="2"/>
  <c r="T33" i="2"/>
  <c r="T17" i="2"/>
  <c r="T18" i="2"/>
  <c r="T23" i="2"/>
  <c r="T24" i="2"/>
  <c r="T25" i="2"/>
  <c r="T27" i="2"/>
  <c r="R79" i="2"/>
  <c r="R80" i="2"/>
  <c r="R81" i="2"/>
  <c r="R82" i="2"/>
  <c r="R83" i="2"/>
  <c r="A80" i="2"/>
  <c r="B80" i="2"/>
  <c r="A81" i="2"/>
  <c r="B81" i="2"/>
  <c r="A82" i="2"/>
  <c r="B82" i="2"/>
  <c r="A83" i="2"/>
  <c r="B83" i="2"/>
  <c r="B79" i="2"/>
  <c r="A79" i="2"/>
  <c r="R75" i="2"/>
  <c r="R76" i="2"/>
  <c r="A76" i="2"/>
  <c r="B76" i="2"/>
  <c r="B75" i="2"/>
  <c r="A75" i="2"/>
  <c r="R62" i="2"/>
  <c r="R63" i="2"/>
  <c r="R64" i="2"/>
  <c r="R65" i="2"/>
  <c r="R66" i="2"/>
  <c r="R67" i="2"/>
  <c r="R68" i="2"/>
  <c r="R69" i="2"/>
  <c r="R70" i="2"/>
  <c r="R71" i="2"/>
  <c r="R72" i="2"/>
  <c r="R73" i="2"/>
  <c r="R57" i="2"/>
  <c r="R58" i="2"/>
  <c r="R59" i="2"/>
  <c r="R60" i="2"/>
  <c r="A63" i="2"/>
  <c r="B63" i="2"/>
  <c r="A64" i="2"/>
  <c r="B64" i="2"/>
  <c r="A65" i="2"/>
  <c r="B65" i="2"/>
  <c r="A66" i="2"/>
  <c r="B66" i="2"/>
  <c r="A67" i="2"/>
  <c r="B67" i="2"/>
  <c r="A68" i="2"/>
  <c r="A69" i="2"/>
  <c r="B69" i="2"/>
  <c r="A70" i="2"/>
  <c r="B70" i="2"/>
  <c r="A71" i="2"/>
  <c r="B71" i="2"/>
  <c r="A72" i="2"/>
  <c r="B72" i="2"/>
  <c r="A73" i="2"/>
  <c r="B73" i="2"/>
  <c r="B62" i="2"/>
  <c r="A62" i="2"/>
  <c r="A58" i="2"/>
  <c r="B58" i="2"/>
  <c r="A59" i="2"/>
  <c r="B59" i="2"/>
  <c r="A60" i="2"/>
  <c r="B60" i="2"/>
  <c r="B57" i="2"/>
  <c r="A57" i="2"/>
  <c r="R53" i="2"/>
  <c r="R46" i="2"/>
  <c r="R47" i="2"/>
  <c r="R48" i="2"/>
  <c r="R49" i="2"/>
  <c r="R50" i="2"/>
  <c r="R51" i="2"/>
  <c r="R34" i="2"/>
  <c r="R35" i="2"/>
  <c r="R36" i="2"/>
  <c r="R37" i="2"/>
  <c r="R38" i="2"/>
  <c r="R39" i="2"/>
  <c r="R40" i="2"/>
  <c r="R41" i="2"/>
  <c r="R42" i="2"/>
  <c r="R43" i="2"/>
  <c r="R45" i="2"/>
  <c r="B53" i="2"/>
  <c r="A53" i="2"/>
  <c r="A46" i="2"/>
  <c r="B46" i="2"/>
  <c r="A47" i="2"/>
  <c r="B47" i="2"/>
  <c r="A48" i="2"/>
  <c r="B48" i="2"/>
  <c r="A49" i="2"/>
  <c r="B49" i="2"/>
  <c r="A50" i="2"/>
  <c r="B50" i="2"/>
  <c r="A51" i="2"/>
  <c r="B51" i="2"/>
  <c r="B45" i="2"/>
  <c r="A45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B34" i="2"/>
  <c r="A34" i="2"/>
  <c r="R26" i="2"/>
  <c r="R28" i="2"/>
  <c r="R29" i="2"/>
  <c r="R30" i="2"/>
  <c r="R31" i="2"/>
  <c r="R32" i="2"/>
  <c r="B29" i="2"/>
  <c r="B30" i="2"/>
  <c r="B31" i="2"/>
  <c r="B32" i="2"/>
  <c r="B28" i="2"/>
  <c r="A32" i="2"/>
  <c r="A29" i="2"/>
  <c r="A30" i="2"/>
  <c r="A31" i="2"/>
  <c r="A28" i="2"/>
  <c r="B26" i="2"/>
  <c r="A26" i="2"/>
  <c r="R20" i="2"/>
  <c r="R21" i="2"/>
  <c r="R22" i="2"/>
  <c r="R19" i="2"/>
  <c r="A20" i="2"/>
  <c r="B20" i="2"/>
  <c r="A21" i="2"/>
  <c r="B21" i="2"/>
  <c r="A22" i="2"/>
  <c r="B22" i="2"/>
  <c r="B19" i="2"/>
  <c r="A19" i="2"/>
  <c r="R12" i="2"/>
  <c r="R13" i="2"/>
  <c r="R14" i="2"/>
  <c r="R15" i="2"/>
  <c r="R16" i="2"/>
  <c r="B13" i="2"/>
  <c r="B14" i="2"/>
  <c r="B15" i="2"/>
  <c r="B16" i="2"/>
  <c r="A16" i="2"/>
  <c r="A13" i="2"/>
  <c r="A14" i="2"/>
  <c r="A15" i="2"/>
  <c r="A12" i="2"/>
  <c r="B12" i="2"/>
  <c r="C19" i="15" l="1"/>
  <c r="B19" i="15"/>
  <c r="A19" i="15"/>
  <c r="D10" i="11" l="1"/>
  <c r="E4" i="19"/>
  <c r="B4" i="19"/>
  <c r="G3" i="19"/>
  <c r="E3" i="19"/>
  <c r="B3" i="19"/>
  <c r="A1" i="19"/>
  <c r="A1" i="4"/>
  <c r="B3" i="4"/>
  <c r="D3" i="4"/>
  <c r="F3" i="4"/>
  <c r="B4" i="4"/>
  <c r="D4" i="4"/>
  <c r="P3" i="2"/>
  <c r="B4" i="2"/>
  <c r="B3" i="2"/>
  <c r="A2" i="2"/>
  <c r="A1" i="2"/>
  <c r="D93" i="11" l="1"/>
  <c r="L93" i="11" s="1"/>
  <c r="K91" i="11" s="1"/>
  <c r="E36" i="15" s="1"/>
  <c r="F40" i="43" s="1"/>
  <c r="D44" i="11"/>
  <c r="L44" i="11" s="1"/>
  <c r="K43" i="11" s="1"/>
  <c r="E20" i="15" s="1"/>
  <c r="D60" i="11"/>
  <c r="J60" i="11" s="1"/>
  <c r="D24" i="11"/>
  <c r="L24" i="11" s="1"/>
  <c r="E19" i="15"/>
  <c r="L10" i="11"/>
  <c r="D77" i="11"/>
  <c r="J77" i="11" s="1"/>
  <c r="D5" i="34"/>
  <c r="B4" i="34"/>
  <c r="B3" i="34"/>
  <c r="A1" i="34"/>
  <c r="M12" i="33"/>
  <c r="D15" i="30" l="1"/>
  <c r="D14" i="30"/>
  <c r="G14" i="30" s="1"/>
  <c r="D13" i="30"/>
  <c r="D12" i="30"/>
  <c r="D16" i="30"/>
  <c r="D22" i="30"/>
  <c r="D18" i="30"/>
  <c r="D17" i="30"/>
  <c r="E17" i="30"/>
  <c r="E16" i="30"/>
  <c r="E22" i="30"/>
  <c r="E15" i="30"/>
  <c r="E18" i="30"/>
  <c r="E14" i="30"/>
  <c r="H14" i="30" s="1"/>
  <c r="E13" i="30"/>
  <c r="E12" i="30"/>
  <c r="M13" i="33"/>
  <c r="F20" i="1"/>
  <c r="I20" i="1" s="1"/>
  <c r="F21" i="43"/>
  <c r="F21" i="1"/>
  <c r="I21" i="1" s="1"/>
  <c r="F22" i="43"/>
  <c r="G40" i="43"/>
  <c r="U40" i="43"/>
  <c r="W40" i="43"/>
  <c r="O40" i="43"/>
  <c r="Y40" i="43"/>
  <c r="K40" i="43"/>
  <c r="AE40" i="43"/>
  <c r="AG40" i="43"/>
  <c r="AA40" i="43"/>
  <c r="S40" i="43"/>
  <c r="M40" i="43"/>
  <c r="Q40" i="43"/>
  <c r="AC40" i="43"/>
  <c r="K60" i="11"/>
  <c r="L60" i="11" s="1"/>
  <c r="K57" i="11" s="1"/>
  <c r="E21" i="15" s="1"/>
  <c r="K9" i="11"/>
  <c r="E17" i="15" s="1"/>
  <c r="F19" i="43" s="1"/>
  <c r="K77" i="11"/>
  <c r="L77" i="11" s="1"/>
  <c r="K74" i="11" s="1"/>
  <c r="E22" i="15" s="1"/>
  <c r="K23" i="11"/>
  <c r="E18" i="15" s="1"/>
  <c r="M14" i="33" l="1"/>
  <c r="O14" i="33" s="1"/>
  <c r="H15" i="30"/>
  <c r="J14" i="30"/>
  <c r="N14" i="30" s="1"/>
  <c r="G15" i="30"/>
  <c r="F22" i="1"/>
  <c r="I22" i="1" s="1"/>
  <c r="F23" i="43"/>
  <c r="G19" i="43"/>
  <c r="S19" i="43"/>
  <c r="W19" i="43"/>
  <c r="AC19" i="43"/>
  <c r="K19" i="43"/>
  <c r="AA19" i="43"/>
  <c r="O19" i="43"/>
  <c r="U19" i="43"/>
  <c r="AE19" i="43"/>
  <c r="M19" i="43"/>
  <c r="Q19" i="43"/>
  <c r="AG19" i="43"/>
  <c r="Y19" i="43"/>
  <c r="G22" i="43"/>
  <c r="W22" i="43"/>
  <c r="AG22" i="43"/>
  <c r="S22" i="43"/>
  <c r="K22" i="43"/>
  <c r="AC22" i="43"/>
  <c r="AA22" i="43"/>
  <c r="O22" i="43"/>
  <c r="AE22" i="43"/>
  <c r="U22" i="43"/>
  <c r="Y22" i="43"/>
  <c r="M22" i="43"/>
  <c r="Q22" i="43"/>
  <c r="AI40" i="43"/>
  <c r="G21" i="43"/>
  <c r="AC21" i="43"/>
  <c r="U21" i="43"/>
  <c r="AA21" i="43"/>
  <c r="Y21" i="43"/>
  <c r="O21" i="43"/>
  <c r="AE21" i="43"/>
  <c r="S21" i="43"/>
  <c r="K21" i="43"/>
  <c r="AG21" i="43"/>
  <c r="W21" i="43"/>
  <c r="M21" i="43"/>
  <c r="Q21" i="43"/>
  <c r="F23" i="1"/>
  <c r="I23" i="1" s="1"/>
  <c r="F24" i="43"/>
  <c r="F19" i="1"/>
  <c r="I19" i="1" s="1"/>
  <c r="F20" i="43"/>
  <c r="H53" i="1"/>
  <c r="M15" i="33" l="1"/>
  <c r="M16" i="33" s="1"/>
  <c r="G16" i="30"/>
  <c r="J15" i="30"/>
  <c r="N15" i="30" s="1"/>
  <c r="H16" i="30"/>
  <c r="AI19" i="43"/>
  <c r="G20" i="43"/>
  <c r="S20" i="43"/>
  <c r="Y20" i="43"/>
  <c r="M20" i="43"/>
  <c r="AC20" i="43"/>
  <c r="Q20" i="43"/>
  <c r="K20" i="43"/>
  <c r="AG20" i="43"/>
  <c r="U20" i="43"/>
  <c r="AE20" i="43"/>
  <c r="AA20" i="43"/>
  <c r="W20" i="43"/>
  <c r="O20" i="43"/>
  <c r="AI22" i="43"/>
  <c r="G24" i="43"/>
  <c r="AG24" i="43"/>
  <c r="Q24" i="43"/>
  <c r="Y24" i="43"/>
  <c r="M24" i="43"/>
  <c r="AA24" i="43"/>
  <c r="O24" i="43"/>
  <c r="S24" i="43"/>
  <c r="AC24" i="43"/>
  <c r="U24" i="43"/>
  <c r="AE24" i="43"/>
  <c r="W24" i="43"/>
  <c r="K24" i="43"/>
  <c r="G23" i="43"/>
  <c r="S23" i="43"/>
  <c r="M23" i="43"/>
  <c r="W23" i="43"/>
  <c r="Y23" i="43"/>
  <c r="AC23" i="43"/>
  <c r="Q23" i="43"/>
  <c r="AG23" i="43"/>
  <c r="U23" i="43"/>
  <c r="K23" i="43"/>
  <c r="O23" i="43"/>
  <c r="AA23" i="43"/>
  <c r="AE23" i="43"/>
  <c r="AI21" i="43"/>
  <c r="O15" i="33" l="1"/>
  <c r="H17" i="30"/>
  <c r="J16" i="30"/>
  <c r="N16" i="30" s="1"/>
  <c r="G17" i="30"/>
  <c r="M17" i="33"/>
  <c r="O16" i="33"/>
  <c r="AI23" i="43"/>
  <c r="AI24" i="43"/>
  <c r="AI20" i="43"/>
  <c r="J17" i="30" l="1"/>
  <c r="N17" i="30" s="1"/>
  <c r="M18" i="33"/>
  <c r="M22" i="33" s="1"/>
  <c r="O17" i="33"/>
  <c r="H13" i="30"/>
  <c r="G13" i="30"/>
  <c r="C28" i="15"/>
  <c r="B28" i="15"/>
  <c r="A28" i="15"/>
  <c r="A29" i="15"/>
  <c r="B29" i="15"/>
  <c r="C29" i="15"/>
  <c r="B61" i="15"/>
  <c r="C61" i="15"/>
  <c r="B62" i="15"/>
  <c r="C62" i="15"/>
  <c r="C59" i="15"/>
  <c r="B59" i="15"/>
  <c r="B28" i="31"/>
  <c r="B27" i="31"/>
  <c r="B11" i="31"/>
  <c r="B27" i="30"/>
  <c r="B26" i="30"/>
  <c r="B27" i="33"/>
  <c r="B26" i="33"/>
  <c r="E46" i="32"/>
  <c r="E45" i="32"/>
  <c r="G5" i="32"/>
  <c r="B4" i="32"/>
  <c r="B3" i="32"/>
  <c r="A2" i="32"/>
  <c r="A1" i="32"/>
  <c r="B11" i="33"/>
  <c r="L4" i="33"/>
  <c r="B4" i="33"/>
  <c r="B3" i="33"/>
  <c r="A2" i="33"/>
  <c r="A1" i="33"/>
  <c r="I11" i="32"/>
  <c r="O22" i="33" l="1"/>
  <c r="M19" i="33"/>
  <c r="O18" i="33"/>
  <c r="H33" i="32"/>
  <c r="J13" i="30"/>
  <c r="N13" i="30" s="1"/>
  <c r="M20" i="33" l="1"/>
  <c r="O19" i="33"/>
  <c r="M4" i="30"/>
  <c r="B4" i="30"/>
  <c r="B3" i="30"/>
  <c r="A1" i="30"/>
  <c r="M21" i="33" l="1"/>
  <c r="O21" i="33" s="1"/>
  <c r="O20" i="33"/>
  <c r="I13" i="33"/>
  <c r="K13" i="33" s="1"/>
  <c r="L13" i="33" s="1"/>
  <c r="O13" i="33" s="1"/>
  <c r="E13" i="32" l="1"/>
  <c r="P13" i="33"/>
  <c r="E3" i="15"/>
  <c r="D3" i="15"/>
  <c r="D4" i="15"/>
  <c r="O4" i="12"/>
  <c r="B4" i="12"/>
  <c r="B3" i="12"/>
  <c r="A2" i="12"/>
  <c r="A1" i="12"/>
  <c r="J4" i="11"/>
  <c r="B4" i="11"/>
  <c r="B3" i="11"/>
  <c r="A2" i="11"/>
  <c r="A1" i="11"/>
  <c r="I51" i="20" l="1"/>
  <c r="J51" i="20" s="1"/>
  <c r="J50" i="20"/>
  <c r="J46" i="20"/>
  <c r="J47" i="20" s="1"/>
  <c r="J42" i="20"/>
  <c r="J41" i="20"/>
  <c r="J40" i="20"/>
  <c r="J39" i="20"/>
  <c r="J38" i="20"/>
  <c r="I6" i="20"/>
  <c r="B5" i="20"/>
  <c r="B4" i="20"/>
  <c r="A2" i="20"/>
  <c r="A1" i="20"/>
  <c r="G11" i="10"/>
  <c r="F11" i="10"/>
  <c r="E12" i="10"/>
  <c r="C12" i="35" s="1"/>
  <c r="E12" i="35" l="1"/>
  <c r="J12" i="35" s="1"/>
  <c r="L12" i="35" s="1"/>
  <c r="D13" i="37"/>
  <c r="F30" i="10"/>
  <c r="F39" i="10"/>
  <c r="G30" i="10"/>
  <c r="I30" i="10" s="1"/>
  <c r="J30" i="10" s="1"/>
  <c r="G39" i="10"/>
  <c r="I39" i="10" s="1"/>
  <c r="I51" i="10" s="1"/>
  <c r="I12" i="33"/>
  <c r="J12" i="10"/>
  <c r="J52" i="20"/>
  <c r="J43" i="20"/>
  <c r="J39" i="10" l="1"/>
  <c r="J51" i="10" s="1"/>
  <c r="C52" i="10"/>
  <c r="E56" i="15" s="1"/>
  <c r="F62" i="1" s="1"/>
  <c r="I62" i="1" s="1"/>
  <c r="J55" i="20"/>
  <c r="J56" i="20" s="1"/>
  <c r="J57" i="20" s="1"/>
  <c r="F64" i="43" l="1"/>
  <c r="AG64" i="43" s="1"/>
  <c r="G12" i="30"/>
  <c r="H12" i="30"/>
  <c r="K12" i="33"/>
  <c r="L12" i="33" s="1"/>
  <c r="O12" i="33" s="1"/>
  <c r="G22" i="30" l="1"/>
  <c r="H22" i="30"/>
  <c r="U64" i="43"/>
  <c r="Y64" i="43"/>
  <c r="G64" i="43"/>
  <c r="S64" i="43"/>
  <c r="AA64" i="43"/>
  <c r="W64" i="43"/>
  <c r="O64" i="43"/>
  <c r="Q64" i="43"/>
  <c r="M64" i="43"/>
  <c r="AC64" i="43"/>
  <c r="K64" i="43"/>
  <c r="AE64" i="43"/>
  <c r="J12" i="30"/>
  <c r="N12" i="30" s="1"/>
  <c r="J12" i="31"/>
  <c r="E12" i="32"/>
  <c r="I27" i="20"/>
  <c r="J22" i="30" l="1"/>
  <c r="N22" i="30" s="1"/>
  <c r="P12" i="33"/>
  <c r="AI64" i="43"/>
  <c r="D26" i="28"/>
  <c r="F6" i="7"/>
  <c r="A11" i="7"/>
  <c r="A11" i="35" l="1"/>
  <c r="B12" i="37" s="1"/>
  <c r="A11" i="40"/>
  <c r="F6" i="40"/>
  <c r="G4" i="16"/>
  <c r="G3" i="36"/>
  <c r="F6" i="35"/>
  <c r="F6" i="10"/>
  <c r="F6" i="31"/>
  <c r="M6" i="39"/>
  <c r="F6" i="14"/>
  <c r="F6" i="37"/>
  <c r="G4" i="19"/>
  <c r="M6" i="2"/>
  <c r="F4" i="4"/>
  <c r="F4" i="34"/>
  <c r="I4" i="32"/>
  <c r="F6" i="33"/>
  <c r="J6" i="30"/>
  <c r="E4" i="15"/>
  <c r="L6" i="12"/>
  <c r="G6" i="11"/>
  <c r="F7" i="20"/>
  <c r="A12" i="7"/>
  <c r="A13" i="7" s="1"/>
  <c r="A11" i="30"/>
  <c r="A11" i="31"/>
  <c r="A11" i="33"/>
  <c r="J13" i="20"/>
  <c r="J14" i="20"/>
  <c r="J15" i="20"/>
  <c r="J16" i="20"/>
  <c r="J18" i="20"/>
  <c r="A14" i="7" l="1"/>
  <c r="A13" i="8"/>
  <c r="A12" i="40"/>
  <c r="A12" i="35"/>
  <c r="B13" i="37" s="1"/>
  <c r="A12" i="30"/>
  <c r="A12" i="31"/>
  <c r="A12" i="8"/>
  <c r="A12" i="33"/>
  <c r="A34" i="28"/>
  <c r="A32" i="28"/>
  <c r="A30" i="28"/>
  <c r="A28" i="28"/>
  <c r="A26" i="28"/>
  <c r="A24" i="28"/>
  <c r="A22" i="28"/>
  <c r="A20" i="28"/>
  <c r="A18" i="28"/>
  <c r="A16" i="28"/>
  <c r="A12" i="28"/>
  <c r="A10" i="28"/>
  <c r="A22" i="16"/>
  <c r="A23" i="16"/>
  <c r="A24" i="16"/>
  <c r="A21" i="16"/>
  <c r="A20" i="16"/>
  <c r="A15" i="16"/>
  <c r="A16" i="16"/>
  <c r="A17" i="16"/>
  <c r="A18" i="16"/>
  <c r="A12" i="16"/>
  <c r="A10" i="16"/>
  <c r="P34" i="28"/>
  <c r="P32" i="28"/>
  <c r="P30" i="28"/>
  <c r="P28" i="28"/>
  <c r="P27" i="28"/>
  <c r="P26" i="28"/>
  <c r="P24" i="28"/>
  <c r="P22" i="28"/>
  <c r="P20" i="28"/>
  <c r="P18" i="28"/>
  <c r="P16" i="28"/>
  <c r="P15" i="28"/>
  <c r="P14" i="28"/>
  <c r="P12" i="28"/>
  <c r="P10" i="28"/>
  <c r="H8" i="28"/>
  <c r="J8" i="28" s="1"/>
  <c r="L8" i="28" s="1"/>
  <c r="N8" i="28" s="1"/>
  <c r="A15" i="7" l="1"/>
  <c r="A14" i="8"/>
  <c r="A13" i="40"/>
  <c r="A12" i="10"/>
  <c r="A58" i="15"/>
  <c r="A16" i="7" l="1"/>
  <c r="A15" i="8"/>
  <c r="A14" i="35"/>
  <c r="B15" i="37" s="1"/>
  <c r="A14" i="31"/>
  <c r="A14" i="10"/>
  <c r="A42" i="10" s="1"/>
  <c r="A14" i="33"/>
  <c r="A14" i="30"/>
  <c r="A14" i="40"/>
  <c r="A31" i="10"/>
  <c r="A40" i="10"/>
  <c r="I11" i="10"/>
  <c r="I23" i="10" s="1"/>
  <c r="B11" i="8"/>
  <c r="B11" i="10" s="1"/>
  <c r="C23" i="8"/>
  <c r="I23" i="8"/>
  <c r="A17" i="7" l="1"/>
  <c r="A16" i="8"/>
  <c r="A15" i="35"/>
  <c r="B16" i="37" s="1"/>
  <c r="A15" i="31"/>
  <c r="A15" i="10"/>
  <c r="A43" i="10" s="1"/>
  <c r="A15" i="40"/>
  <c r="A15" i="33"/>
  <c r="A15" i="30"/>
  <c r="B30" i="10"/>
  <c r="B39" i="10"/>
  <c r="E11" i="8"/>
  <c r="E11" i="7"/>
  <c r="E23" i="7" s="1"/>
  <c r="I11" i="7"/>
  <c r="I23" i="7" s="1"/>
  <c r="A18" i="7" l="1"/>
  <c r="A19" i="7" s="1"/>
  <c r="A17" i="8"/>
  <c r="E23" i="8"/>
  <c r="J11" i="8"/>
  <c r="A16" i="35"/>
  <c r="B17" i="37" s="1"/>
  <c r="A16" i="31"/>
  <c r="A16" i="10"/>
  <c r="A44" i="10" s="1"/>
  <c r="A16" i="33"/>
  <c r="A16" i="40"/>
  <c r="A16" i="30"/>
  <c r="B25" i="32"/>
  <c r="E24" i="32" s="1"/>
  <c r="F32" i="43"/>
  <c r="E11" i="10"/>
  <c r="C23" i="10"/>
  <c r="J11" i="7"/>
  <c r="J23" i="7" s="1"/>
  <c r="A20" i="7" l="1"/>
  <c r="A19" i="31"/>
  <c r="A19" i="30"/>
  <c r="A19" i="8"/>
  <c r="A19" i="10" s="1"/>
  <c r="A47" i="10" s="1"/>
  <c r="A19" i="33"/>
  <c r="A18" i="8"/>
  <c r="A17" i="35"/>
  <c r="B18" i="37" s="1"/>
  <c r="A17" i="10"/>
  <c r="A45" i="10" s="1"/>
  <c r="A17" i="31"/>
  <c r="A17" i="30"/>
  <c r="A17" i="40"/>
  <c r="A17" i="33"/>
  <c r="C11" i="30"/>
  <c r="J23" i="8"/>
  <c r="C11" i="35"/>
  <c r="G32" i="43"/>
  <c r="K32" i="43"/>
  <c r="AG32" i="43"/>
  <c r="U32" i="43"/>
  <c r="AA32" i="43"/>
  <c r="W32" i="43"/>
  <c r="O32" i="43"/>
  <c r="AE32" i="43"/>
  <c r="S32" i="43"/>
  <c r="Y32" i="43"/>
  <c r="M32" i="43"/>
  <c r="AC32" i="43"/>
  <c r="Q32" i="43"/>
  <c r="I32" i="1"/>
  <c r="F33" i="43"/>
  <c r="F31" i="1"/>
  <c r="I31" i="1" s="1"/>
  <c r="F49" i="37"/>
  <c r="A13" i="30"/>
  <c r="A13" i="31"/>
  <c r="A13" i="33"/>
  <c r="A13" i="35"/>
  <c r="B14" i="37" s="1"/>
  <c r="C11" i="31"/>
  <c r="I11" i="33"/>
  <c r="C11" i="33"/>
  <c r="C23" i="33" s="1"/>
  <c r="E23" i="10"/>
  <c r="J11" i="10"/>
  <c r="J23" i="10" s="1"/>
  <c r="A12" i="12"/>
  <c r="A13" i="12" s="1"/>
  <c r="A21" i="7" l="1"/>
  <c r="A20" i="31"/>
  <c r="A20" i="30"/>
  <c r="A20" i="8"/>
  <c r="A20" i="10" s="1"/>
  <c r="A48" i="10" s="1"/>
  <c r="A20" i="33"/>
  <c r="I11" i="30"/>
  <c r="I23" i="30" s="1"/>
  <c r="C23" i="30"/>
  <c r="C23" i="31"/>
  <c r="A18" i="35"/>
  <c r="B19" i="37" s="1"/>
  <c r="A18" i="10"/>
  <c r="A46" i="10" s="1"/>
  <c r="A18" i="31"/>
  <c r="A18" i="30"/>
  <c r="A18" i="33"/>
  <c r="A18" i="40"/>
  <c r="C48" i="35"/>
  <c r="D12" i="37"/>
  <c r="D49" i="37" s="1"/>
  <c r="G18" i="30"/>
  <c r="H18" i="30"/>
  <c r="G33" i="43"/>
  <c r="W33" i="43"/>
  <c r="K33" i="43"/>
  <c r="Q33" i="43"/>
  <c r="AA33" i="43"/>
  <c r="Y33" i="43"/>
  <c r="M33" i="43"/>
  <c r="AG33" i="43"/>
  <c r="AE33" i="43"/>
  <c r="AC33" i="43"/>
  <c r="U33" i="43"/>
  <c r="O33" i="43"/>
  <c r="S33" i="43"/>
  <c r="AI32" i="43"/>
  <c r="F34" i="1"/>
  <c r="I34" i="1" s="1"/>
  <c r="F35" i="43"/>
  <c r="A13" i="10"/>
  <c r="L49" i="37"/>
  <c r="K11" i="33"/>
  <c r="G11" i="31"/>
  <c r="F11" i="31"/>
  <c r="E11" i="35"/>
  <c r="G11" i="30"/>
  <c r="H11" i="30"/>
  <c r="J11" i="33"/>
  <c r="A22" i="7" l="1"/>
  <c r="A21" i="31"/>
  <c r="A21" i="30"/>
  <c r="A21" i="8"/>
  <c r="A21" i="10" s="1"/>
  <c r="A49" i="10" s="1"/>
  <c r="A21" i="33"/>
  <c r="L11" i="30"/>
  <c r="L23" i="30" s="1"/>
  <c r="E52" i="15" s="1"/>
  <c r="F57" i="1" s="1"/>
  <c r="I57" i="1" s="1"/>
  <c r="G23" i="31"/>
  <c r="F23" i="31"/>
  <c r="L11" i="33"/>
  <c r="A19" i="35"/>
  <c r="B20" i="37" s="1"/>
  <c r="A19" i="40"/>
  <c r="J18" i="30"/>
  <c r="N18" i="30" s="1"/>
  <c r="A32" i="10"/>
  <c r="A41" i="10"/>
  <c r="G35" i="43"/>
  <c r="AG35" i="43"/>
  <c r="U35" i="43"/>
  <c r="K35" i="43"/>
  <c r="O35" i="43"/>
  <c r="AA35" i="43"/>
  <c r="AE35" i="43"/>
  <c r="S35" i="43"/>
  <c r="M35" i="43"/>
  <c r="W35" i="43"/>
  <c r="Q35" i="43"/>
  <c r="Y35" i="43"/>
  <c r="AC35" i="43"/>
  <c r="AI33" i="43"/>
  <c r="A35" i="10"/>
  <c r="H11" i="31"/>
  <c r="J11" i="35"/>
  <c r="J11" i="30"/>
  <c r="C71" i="2"/>
  <c r="A22" i="31" l="1"/>
  <c r="A22" i="30"/>
  <c r="A22" i="8"/>
  <c r="A22" i="10" s="1"/>
  <c r="A50" i="10" s="1"/>
  <c r="A22" i="33"/>
  <c r="E11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4" i="32" s="1"/>
  <c r="H27" i="32" s="1"/>
  <c r="O11" i="33"/>
  <c r="H23" i="31"/>
  <c r="A20" i="35"/>
  <c r="B21" i="37" s="1"/>
  <c r="A20" i="40"/>
  <c r="J23" i="33"/>
  <c r="E45" i="15" s="1"/>
  <c r="A33" i="10"/>
  <c r="P11" i="33"/>
  <c r="AI35" i="43"/>
  <c r="A36" i="10"/>
  <c r="N49" i="37"/>
  <c r="L11" i="35"/>
  <c r="J11" i="31"/>
  <c r="E71" i="2"/>
  <c r="G71" i="2"/>
  <c r="O71" i="2"/>
  <c r="M71" i="2"/>
  <c r="K71" i="2"/>
  <c r="I71" i="2"/>
  <c r="N11" i="30"/>
  <c r="C70" i="2"/>
  <c r="A11" i="8"/>
  <c r="J23" i="31" l="1"/>
  <c r="E50" i="15" s="1"/>
  <c r="F55" i="1" s="1"/>
  <c r="I55" i="1" s="1"/>
  <c r="A21" i="35"/>
  <c r="B22" i="37" s="1"/>
  <c r="A21" i="40"/>
  <c r="F50" i="1"/>
  <c r="I50" i="1" s="1"/>
  <c r="F51" i="43"/>
  <c r="O51" i="43" s="1"/>
  <c r="F26" i="1"/>
  <c r="I26" i="1" s="1"/>
  <c r="F27" i="43"/>
  <c r="F73" i="43"/>
  <c r="A37" i="10"/>
  <c r="M70" i="2"/>
  <c r="I70" i="2"/>
  <c r="G70" i="2"/>
  <c r="K70" i="2"/>
  <c r="E70" i="2"/>
  <c r="O70" i="2"/>
  <c r="Q71" i="2"/>
  <c r="T71" i="2" s="1"/>
  <c r="A11" i="10"/>
  <c r="A18" i="2"/>
  <c r="H28" i="14"/>
  <c r="A55" i="15"/>
  <c r="A54" i="15"/>
  <c r="A45" i="15"/>
  <c r="A46" i="15"/>
  <c r="A47" i="15"/>
  <c r="A48" i="15"/>
  <c r="A49" i="15"/>
  <c r="A42" i="15"/>
  <c r="A41" i="15"/>
  <c r="A39" i="15"/>
  <c r="A40" i="15"/>
  <c r="A38" i="15"/>
  <c r="A37" i="15"/>
  <c r="C30" i="15"/>
  <c r="A30" i="15"/>
  <c r="A26" i="15"/>
  <c r="B26" i="15"/>
  <c r="C26" i="15"/>
  <c r="A24" i="15"/>
  <c r="A23" i="15"/>
  <c r="B30" i="15"/>
  <c r="A35" i="15"/>
  <c r="A27" i="15"/>
  <c r="A18" i="15"/>
  <c r="A20" i="15"/>
  <c r="A22" i="15"/>
  <c r="A17" i="15"/>
  <c r="A16" i="15"/>
  <c r="A15" i="15"/>
  <c r="A10" i="15"/>
  <c r="A9" i="15"/>
  <c r="B5" i="7"/>
  <c r="B5" i="43" s="1"/>
  <c r="H32" i="32" l="1"/>
  <c r="E39" i="15" s="1"/>
  <c r="F44" i="43" s="1"/>
  <c r="Y51" i="43"/>
  <c r="AA51" i="43"/>
  <c r="M51" i="43"/>
  <c r="K51" i="43"/>
  <c r="G51" i="43"/>
  <c r="U51" i="43"/>
  <c r="AG51" i="43"/>
  <c r="AC51" i="43"/>
  <c r="W51" i="43"/>
  <c r="Q51" i="43"/>
  <c r="A22" i="35"/>
  <c r="B23" i="37" s="1"/>
  <c r="A22" i="40"/>
  <c r="S51" i="43"/>
  <c r="AE51" i="43"/>
  <c r="A30" i="10"/>
  <c r="A39" i="10"/>
  <c r="F29" i="43"/>
  <c r="G27" i="43"/>
  <c r="K27" i="43"/>
  <c r="AG27" i="43"/>
  <c r="AC27" i="43"/>
  <c r="W27" i="43"/>
  <c r="AA27" i="43"/>
  <c r="O27" i="43"/>
  <c r="Q27" i="43"/>
  <c r="AE27" i="43"/>
  <c r="Y27" i="43"/>
  <c r="S27" i="43"/>
  <c r="U27" i="43"/>
  <c r="M27" i="43"/>
  <c r="G73" i="43"/>
  <c r="AA73" i="43"/>
  <c r="K73" i="43"/>
  <c r="Y73" i="43"/>
  <c r="W73" i="43"/>
  <c r="U73" i="43"/>
  <c r="S73" i="43"/>
  <c r="Q73" i="43"/>
  <c r="O73" i="43"/>
  <c r="AC73" i="43"/>
  <c r="M73" i="43"/>
  <c r="AE73" i="43"/>
  <c r="AG73" i="43"/>
  <c r="A38" i="10"/>
  <c r="B5" i="40"/>
  <c r="C40" i="2"/>
  <c r="B5" i="16"/>
  <c r="B5" i="36"/>
  <c r="B5" i="35"/>
  <c r="B5" i="10"/>
  <c r="B5" i="14"/>
  <c r="B5" i="39"/>
  <c r="B5" i="31"/>
  <c r="B5" i="37"/>
  <c r="Q70" i="2"/>
  <c r="T70" i="2" s="1"/>
  <c r="B5" i="19"/>
  <c r="B5" i="4"/>
  <c r="B5" i="2"/>
  <c r="B5" i="34"/>
  <c r="B6" i="20"/>
  <c r="B5" i="32"/>
  <c r="B5" i="33"/>
  <c r="B5" i="30"/>
  <c r="B5" i="12"/>
  <c r="B5" i="11"/>
  <c r="B18" i="2"/>
  <c r="B12" i="28"/>
  <c r="B12" i="16"/>
  <c r="AI51" i="43" l="1"/>
  <c r="A23" i="35"/>
  <c r="B24" i="37" s="1"/>
  <c r="A23" i="40"/>
  <c r="H34" i="32"/>
  <c r="I36" i="32" s="1"/>
  <c r="I39" i="32" s="1"/>
  <c r="E40" i="15" s="1"/>
  <c r="F45" i="43" s="1"/>
  <c r="I28" i="1"/>
  <c r="I29" i="1" s="1"/>
  <c r="F28" i="43"/>
  <c r="AI27" i="43"/>
  <c r="G29" i="43"/>
  <c r="Q29" i="43"/>
  <c r="AG29" i="43"/>
  <c r="Y29" i="43"/>
  <c r="M29" i="43"/>
  <c r="AC29" i="43"/>
  <c r="S29" i="43"/>
  <c r="W29" i="43"/>
  <c r="K29" i="43"/>
  <c r="O29" i="43"/>
  <c r="AE29" i="43"/>
  <c r="U29" i="43"/>
  <c r="AA29" i="43"/>
  <c r="G44" i="43"/>
  <c r="M44" i="43"/>
  <c r="AA44" i="43"/>
  <c r="K44" i="43"/>
  <c r="Y44" i="43"/>
  <c r="W44" i="43"/>
  <c r="U44" i="43"/>
  <c r="S44" i="43"/>
  <c r="AG44" i="43"/>
  <c r="Q44" i="43"/>
  <c r="AE44" i="43"/>
  <c r="O44" i="43"/>
  <c r="AC44" i="43"/>
  <c r="AI73" i="43"/>
  <c r="I40" i="2"/>
  <c r="K40" i="2"/>
  <c r="E40" i="2"/>
  <c r="M40" i="2"/>
  <c r="G40" i="2"/>
  <c r="C46" i="2"/>
  <c r="A24" i="35" l="1"/>
  <c r="B25" i="37" s="1"/>
  <c r="A24" i="40"/>
  <c r="G45" i="43"/>
  <c r="AA45" i="43"/>
  <c r="S45" i="43"/>
  <c r="K45" i="43"/>
  <c r="Q45" i="43"/>
  <c r="W45" i="43"/>
  <c r="AG45" i="43"/>
  <c r="Y45" i="43"/>
  <c r="AE45" i="43"/>
  <c r="U45" i="43"/>
  <c r="M45" i="43"/>
  <c r="O45" i="43"/>
  <c r="AC45" i="43"/>
  <c r="AI29" i="43"/>
  <c r="G28" i="43"/>
  <c r="S28" i="43"/>
  <c r="W28" i="43"/>
  <c r="M28" i="43"/>
  <c r="Q28" i="43"/>
  <c r="AA28" i="43"/>
  <c r="AC28" i="43"/>
  <c r="AG28" i="43"/>
  <c r="Y28" i="43"/>
  <c r="U28" i="43"/>
  <c r="O28" i="43"/>
  <c r="K28" i="43"/>
  <c r="AE28" i="43"/>
  <c r="F33" i="1"/>
  <c r="F34" i="43"/>
  <c r="AI44" i="43"/>
  <c r="Q40" i="2"/>
  <c r="T40" i="2" s="1"/>
  <c r="C42" i="2"/>
  <c r="G46" i="2"/>
  <c r="K46" i="2"/>
  <c r="I46" i="2"/>
  <c r="E46" i="2"/>
  <c r="M46" i="2"/>
  <c r="C35" i="2"/>
  <c r="A25" i="35" l="1"/>
  <c r="B26" i="37" s="1"/>
  <c r="A25" i="40"/>
  <c r="I33" i="1"/>
  <c r="I37" i="1" s="1"/>
  <c r="AI45" i="43"/>
  <c r="G34" i="43"/>
  <c r="U34" i="43"/>
  <c r="Y34" i="43"/>
  <c r="O34" i="43"/>
  <c r="M34" i="43"/>
  <c r="AC34" i="43"/>
  <c r="Q34" i="43"/>
  <c r="AE34" i="43"/>
  <c r="W34" i="43"/>
  <c r="AG34" i="43"/>
  <c r="S34" i="43"/>
  <c r="K34" i="43"/>
  <c r="AA34" i="43"/>
  <c r="AI28" i="43"/>
  <c r="C41" i="2"/>
  <c r="E42" i="2"/>
  <c r="I42" i="2"/>
  <c r="K42" i="2"/>
  <c r="G42" i="2"/>
  <c r="M42" i="2"/>
  <c r="Q46" i="2"/>
  <c r="T46" i="2" s="1"/>
  <c r="M35" i="2"/>
  <c r="K35" i="2"/>
  <c r="I35" i="2"/>
  <c r="G35" i="2"/>
  <c r="E35" i="2"/>
  <c r="B30" i="19"/>
  <c r="B29" i="19"/>
  <c r="A26" i="35" l="1"/>
  <c r="B27" i="37" s="1"/>
  <c r="A26" i="40"/>
  <c r="AI34" i="43"/>
  <c r="Q42" i="2"/>
  <c r="T42" i="2" s="1"/>
  <c r="E41" i="2"/>
  <c r="I41" i="2"/>
  <c r="G41" i="2"/>
  <c r="M41" i="2"/>
  <c r="K41" i="2"/>
  <c r="Q35" i="2"/>
  <c r="T35" i="2" s="1"/>
  <c r="I32" i="14"/>
  <c r="I30" i="14"/>
  <c r="I28" i="14"/>
  <c r="I26" i="14"/>
  <c r="I13" i="14"/>
  <c r="E61" i="15" s="1"/>
  <c r="F68" i="1" s="1"/>
  <c r="I9" i="14"/>
  <c r="A27" i="35" l="1"/>
  <c r="B28" i="37" s="1"/>
  <c r="A27" i="40"/>
  <c r="I68" i="1"/>
  <c r="F71" i="43"/>
  <c r="Q41" i="2"/>
  <c r="T41" i="2" s="1"/>
  <c r="C80" i="2"/>
  <c r="C24" i="7"/>
  <c r="B6" i="16" s="1"/>
  <c r="A28" i="35" l="1"/>
  <c r="B29" i="37" s="1"/>
  <c r="A28" i="40"/>
  <c r="G71" i="43"/>
  <c r="AA71" i="43"/>
  <c r="K71" i="43"/>
  <c r="Y71" i="43"/>
  <c r="S71" i="43"/>
  <c r="M71" i="43"/>
  <c r="AG71" i="43"/>
  <c r="Q71" i="43"/>
  <c r="W71" i="43"/>
  <c r="AE71" i="43"/>
  <c r="O71" i="43"/>
  <c r="AC71" i="43"/>
  <c r="U71" i="43"/>
  <c r="O80" i="2"/>
  <c r="K80" i="2"/>
  <c r="M80" i="2"/>
  <c r="B47" i="15"/>
  <c r="C47" i="15"/>
  <c r="B48" i="15"/>
  <c r="C48" i="15"/>
  <c r="B49" i="15"/>
  <c r="C49" i="15"/>
  <c r="B67" i="20"/>
  <c r="B66" i="20"/>
  <c r="J27" i="20"/>
  <c r="J26" i="20"/>
  <c r="J22" i="20"/>
  <c r="J23" i="20" s="1"/>
  <c r="H17" i="20"/>
  <c r="J17" i="20" s="1"/>
  <c r="B30" i="4"/>
  <c r="B45" i="28" s="1"/>
  <c r="B44" i="28"/>
  <c r="B34" i="16"/>
  <c r="B33" i="16"/>
  <c r="B18" i="15"/>
  <c r="C18" i="15"/>
  <c r="B65" i="15"/>
  <c r="B64" i="15"/>
  <c r="G27" i="16"/>
  <c r="B22" i="4"/>
  <c r="B24" i="39" s="1"/>
  <c r="B21" i="4"/>
  <c r="B23" i="39" s="1"/>
  <c r="B20" i="4"/>
  <c r="B22" i="39" s="1"/>
  <c r="B19" i="4"/>
  <c r="B21" i="39" s="1"/>
  <c r="B18" i="4"/>
  <c r="B20" i="39" s="1"/>
  <c r="B16" i="4"/>
  <c r="B18" i="39" s="1"/>
  <c r="B15" i="4"/>
  <c r="B17" i="39" s="1"/>
  <c r="B14" i="4"/>
  <c r="B16" i="39" s="1"/>
  <c r="B13" i="4"/>
  <c r="B15" i="39" s="1"/>
  <c r="B20" i="15"/>
  <c r="C20" i="15"/>
  <c r="B22" i="15"/>
  <c r="C22" i="15"/>
  <c r="D11" i="14"/>
  <c r="I11" i="14" s="1"/>
  <c r="I39" i="14" s="1"/>
  <c r="E60" i="15" s="1"/>
  <c r="C24" i="15"/>
  <c r="B24" i="15"/>
  <c r="B46" i="14"/>
  <c r="B45" i="14"/>
  <c r="A11" i="2"/>
  <c r="A78" i="2"/>
  <c r="A74" i="2"/>
  <c r="A61" i="2"/>
  <c r="A56" i="2"/>
  <c r="A55" i="2"/>
  <c r="A52" i="2"/>
  <c r="A44" i="2"/>
  <c r="A33" i="2"/>
  <c r="A27" i="2"/>
  <c r="B12" i="4"/>
  <c r="B14" i="39" s="1"/>
  <c r="A12" i="4"/>
  <c r="A14" i="39" s="1"/>
  <c r="A25" i="2"/>
  <c r="B40" i="15"/>
  <c r="B17" i="15"/>
  <c r="C17" i="15"/>
  <c r="B21" i="12"/>
  <c r="B20" i="12"/>
  <c r="B58" i="10"/>
  <c r="B57" i="10"/>
  <c r="B28" i="8"/>
  <c r="B27" i="8"/>
  <c r="B10" i="15"/>
  <c r="C10" i="15"/>
  <c r="B5" i="15"/>
  <c r="B4" i="15"/>
  <c r="B3" i="15"/>
  <c r="A1" i="15"/>
  <c r="C55" i="15"/>
  <c r="B55" i="15"/>
  <c r="B46" i="15"/>
  <c r="C46" i="15"/>
  <c r="B45" i="15"/>
  <c r="C45" i="15"/>
  <c r="C42" i="15"/>
  <c r="B42" i="15"/>
  <c r="C39" i="15"/>
  <c r="C40" i="15"/>
  <c r="B39" i="15"/>
  <c r="C36" i="15"/>
  <c r="B36" i="15"/>
  <c r="B101" i="11"/>
  <c r="B100" i="11"/>
  <c r="B5" i="1"/>
  <c r="B4" i="1"/>
  <c r="B3" i="1"/>
  <c r="A1" i="1"/>
  <c r="I3" i="8"/>
  <c r="F6" i="8"/>
  <c r="B5" i="8"/>
  <c r="B4" i="8"/>
  <c r="B3" i="8"/>
  <c r="A1" i="8"/>
  <c r="B10" i="4"/>
  <c r="B3" i="44" l="1"/>
  <c r="B3" i="45"/>
  <c r="B3" i="46"/>
  <c r="B5" i="44"/>
  <c r="B5" i="45"/>
  <c r="B5" i="46"/>
  <c r="B4" i="44"/>
  <c r="B4" i="46"/>
  <c r="B4" i="45"/>
  <c r="A1" i="44"/>
  <c r="A1" i="45"/>
  <c r="A1" i="46"/>
  <c r="A29" i="35"/>
  <c r="B30" i="37" s="1"/>
  <c r="A29" i="40"/>
  <c r="AI71" i="43"/>
  <c r="F67" i="1"/>
  <c r="I67" i="1" s="1"/>
  <c r="F70" i="43"/>
  <c r="B12" i="39"/>
  <c r="B10" i="16"/>
  <c r="Q80" i="2"/>
  <c r="T80" i="2" s="1"/>
  <c r="B10" i="28"/>
  <c r="B28" i="28"/>
  <c r="B21" i="16"/>
  <c r="B55" i="2"/>
  <c r="B26" i="28"/>
  <c r="B20" i="16"/>
  <c r="B18" i="16"/>
  <c r="B24" i="28"/>
  <c r="B25" i="2"/>
  <c r="B16" i="28"/>
  <c r="B17" i="16"/>
  <c r="B22" i="28"/>
  <c r="B24" i="2"/>
  <c r="B14" i="28"/>
  <c r="B14" i="16"/>
  <c r="B33" i="2"/>
  <c r="B20" i="28"/>
  <c r="B16" i="16"/>
  <c r="B32" i="28"/>
  <c r="B23" i="16"/>
  <c r="B30" i="28"/>
  <c r="B22" i="16"/>
  <c r="A24" i="2"/>
  <c r="A14" i="28"/>
  <c r="A14" i="16"/>
  <c r="B18" i="28"/>
  <c r="B15" i="16"/>
  <c r="B78" i="2"/>
  <c r="B34" i="28"/>
  <c r="B24" i="16"/>
  <c r="C17" i="12"/>
  <c r="C20" i="2"/>
  <c r="C21" i="2"/>
  <c r="C22" i="2"/>
  <c r="C39" i="2"/>
  <c r="C36" i="2"/>
  <c r="C50" i="2"/>
  <c r="C82" i="2"/>
  <c r="C13" i="2"/>
  <c r="C15" i="2"/>
  <c r="C24" i="8"/>
  <c r="B6" i="7" s="1"/>
  <c r="I15" i="14"/>
  <c r="B11" i="2"/>
  <c r="B44" i="2"/>
  <c r="B27" i="2"/>
  <c r="B56" i="2"/>
  <c r="J19" i="20"/>
  <c r="J28" i="20"/>
  <c r="B52" i="2"/>
  <c r="B74" i="2"/>
  <c r="B61" i="2"/>
  <c r="B6" i="19" l="1"/>
  <c r="B6" i="4"/>
  <c r="B6" i="15"/>
  <c r="B6" i="43"/>
  <c r="A30" i="35"/>
  <c r="B31" i="37" s="1"/>
  <c r="A30" i="40"/>
  <c r="G70" i="43"/>
  <c r="S70" i="43"/>
  <c r="AG70" i="43"/>
  <c r="Q70" i="43"/>
  <c r="AE70" i="43"/>
  <c r="M70" i="43"/>
  <c r="AA70" i="43"/>
  <c r="K70" i="43"/>
  <c r="Y70" i="43"/>
  <c r="U70" i="43"/>
  <c r="AC70" i="43"/>
  <c r="W70" i="43"/>
  <c r="O70" i="43"/>
  <c r="B7" i="20"/>
  <c r="B6" i="40"/>
  <c r="F39" i="1"/>
  <c r="I39" i="1" s="1"/>
  <c r="C38" i="2"/>
  <c r="C16" i="2"/>
  <c r="E16" i="2" s="1"/>
  <c r="Q16" i="2" s="1"/>
  <c r="T16" i="2" s="1"/>
  <c r="O82" i="2"/>
  <c r="M82" i="2"/>
  <c r="K82" i="2"/>
  <c r="E13" i="2"/>
  <c r="Q13" i="2" s="1"/>
  <c r="T13" i="2" s="1"/>
  <c r="K22" i="2"/>
  <c r="E22" i="2"/>
  <c r="I22" i="2"/>
  <c r="M22" i="2"/>
  <c r="O22" i="2"/>
  <c r="G22" i="2"/>
  <c r="O21" i="2"/>
  <c r="K21" i="2"/>
  <c r="E21" i="2"/>
  <c r="M21" i="2"/>
  <c r="I21" i="2"/>
  <c r="G21" i="2"/>
  <c r="K20" i="2"/>
  <c r="I20" i="2"/>
  <c r="M20" i="2"/>
  <c r="O20" i="2"/>
  <c r="E20" i="2"/>
  <c r="G20" i="2"/>
  <c r="M39" i="2"/>
  <c r="E39" i="2"/>
  <c r="K39" i="2"/>
  <c r="I39" i="2"/>
  <c r="G39" i="2"/>
  <c r="E50" i="2"/>
  <c r="G50" i="2"/>
  <c r="M50" i="2"/>
  <c r="I50" i="2"/>
  <c r="K50" i="2"/>
  <c r="K36" i="2"/>
  <c r="E36" i="2"/>
  <c r="M36" i="2"/>
  <c r="I36" i="2"/>
  <c r="G36" i="2"/>
  <c r="E15" i="2"/>
  <c r="Q15" i="2" s="1"/>
  <c r="T15" i="2" s="1"/>
  <c r="C81" i="2"/>
  <c r="C47" i="2"/>
  <c r="C37" i="2"/>
  <c r="C24" i="10"/>
  <c r="J31" i="20"/>
  <c r="J32" i="20" s="1"/>
  <c r="J33" i="20" s="1"/>
  <c r="A31" i="35" l="1"/>
  <c r="B32" i="37" s="1"/>
  <c r="A31" i="40"/>
  <c r="G23" i="30"/>
  <c r="H23" i="30"/>
  <c r="AI70" i="43"/>
  <c r="I40" i="1"/>
  <c r="E34" i="14"/>
  <c r="C14" i="2"/>
  <c r="E14" i="2" s="1"/>
  <c r="Q14" i="2" s="1"/>
  <c r="T14" i="2" s="1"/>
  <c r="C79" i="2"/>
  <c r="O79" i="2" s="1"/>
  <c r="C51" i="2"/>
  <c r="M51" i="2" s="1"/>
  <c r="Q82" i="2"/>
  <c r="T82" i="2" s="1"/>
  <c r="K81" i="2"/>
  <c r="M81" i="2"/>
  <c r="O81" i="2"/>
  <c r="Q22" i="2"/>
  <c r="T22" i="2" s="1"/>
  <c r="Q21" i="2"/>
  <c r="T21" i="2" s="1"/>
  <c r="Q20" i="2"/>
  <c r="T20" i="2" s="1"/>
  <c r="M47" i="2"/>
  <c r="K47" i="2"/>
  <c r="I47" i="2"/>
  <c r="G47" i="2"/>
  <c r="E47" i="2"/>
  <c r="Q36" i="2"/>
  <c r="T36" i="2" s="1"/>
  <c r="G38" i="2"/>
  <c r="M38" i="2"/>
  <c r="K38" i="2"/>
  <c r="E38" i="2"/>
  <c r="I38" i="2"/>
  <c r="Q50" i="2"/>
  <c r="T50" i="2" s="1"/>
  <c r="Q39" i="2"/>
  <c r="T39" i="2" s="1"/>
  <c r="C34" i="2"/>
  <c r="I37" i="2"/>
  <c r="K37" i="2"/>
  <c r="M37" i="2"/>
  <c r="G37" i="2"/>
  <c r="E37" i="2"/>
  <c r="F18" i="1"/>
  <c r="I18" i="1" s="1"/>
  <c r="E47" i="15"/>
  <c r="B6" i="1"/>
  <c r="B6" i="44" s="1"/>
  <c r="C45" i="2"/>
  <c r="C49" i="2"/>
  <c r="E42" i="15"/>
  <c r="F47" i="1" s="1"/>
  <c r="I47" i="1" s="1"/>
  <c r="B6" i="8"/>
  <c r="E49" i="15" l="1"/>
  <c r="F54" i="1" s="1"/>
  <c r="I54" i="1" s="1"/>
  <c r="E48" i="15"/>
  <c r="F58" i="43" s="1"/>
  <c r="A32" i="35"/>
  <c r="B33" i="37" s="1"/>
  <c r="A32" i="40"/>
  <c r="F56" i="43"/>
  <c r="AE56" i="43" s="1"/>
  <c r="F52" i="1"/>
  <c r="I52" i="1" s="1"/>
  <c r="F43" i="1"/>
  <c r="I43" i="1" s="1"/>
  <c r="F48" i="43"/>
  <c r="C68" i="2"/>
  <c r="F57" i="43"/>
  <c r="C26" i="2"/>
  <c r="G26" i="2" s="1"/>
  <c r="B6" i="39"/>
  <c r="B6" i="14"/>
  <c r="B6" i="37"/>
  <c r="B6" i="35"/>
  <c r="B6" i="10"/>
  <c r="B6" i="31"/>
  <c r="B6" i="30"/>
  <c r="G51" i="2"/>
  <c r="K51" i="2"/>
  <c r="K79" i="2"/>
  <c r="M79" i="2"/>
  <c r="I51" i="2"/>
  <c r="E51" i="2"/>
  <c r="Q81" i="2"/>
  <c r="T81" i="2" s="1"/>
  <c r="Q47" i="2"/>
  <c r="T47" i="2" s="1"/>
  <c r="E16" i="4"/>
  <c r="C53" i="2"/>
  <c r="G34" i="2"/>
  <c r="I34" i="2"/>
  <c r="K34" i="2"/>
  <c r="E34" i="2"/>
  <c r="M34" i="2"/>
  <c r="Q37" i="2"/>
  <c r="T37" i="2" s="1"/>
  <c r="M49" i="2"/>
  <c r="I49" i="2"/>
  <c r="G49" i="2"/>
  <c r="K49" i="2"/>
  <c r="E49" i="2"/>
  <c r="I45" i="2"/>
  <c r="E45" i="2"/>
  <c r="G45" i="2"/>
  <c r="M45" i="2"/>
  <c r="K45" i="2"/>
  <c r="Q38" i="2"/>
  <c r="T38" i="2" s="1"/>
  <c r="B6" i="2"/>
  <c r="B6" i="33"/>
  <c r="B6" i="11"/>
  <c r="B6" i="12"/>
  <c r="E55" i="15"/>
  <c r="F63" i="43" s="1"/>
  <c r="F59" i="43" l="1"/>
  <c r="S59" i="43" s="1"/>
  <c r="E53" i="15"/>
  <c r="F58" i="1" s="1"/>
  <c r="I58" i="1" s="1"/>
  <c r="F53" i="1"/>
  <c r="I53" i="1" s="1"/>
  <c r="C69" i="2" s="1"/>
  <c r="M69" i="2" s="1"/>
  <c r="N23" i="30"/>
  <c r="E51" i="15" s="1"/>
  <c r="J23" i="30"/>
  <c r="A33" i="35"/>
  <c r="B34" i="37" s="1"/>
  <c r="A33" i="40"/>
  <c r="G56" i="43"/>
  <c r="AA56" i="43"/>
  <c r="U56" i="43"/>
  <c r="K56" i="43"/>
  <c r="S56" i="43"/>
  <c r="M56" i="43"/>
  <c r="O56" i="43"/>
  <c r="W56" i="43"/>
  <c r="Q56" i="43"/>
  <c r="Y56" i="43"/>
  <c r="AG56" i="43"/>
  <c r="AC56" i="43"/>
  <c r="G58" i="43"/>
  <c r="K58" i="43"/>
  <c r="AG58" i="43"/>
  <c r="AE58" i="43"/>
  <c r="AC58" i="43"/>
  <c r="Q58" i="43"/>
  <c r="O58" i="43"/>
  <c r="M58" i="43"/>
  <c r="U58" i="43"/>
  <c r="S58" i="43"/>
  <c r="Y58" i="43"/>
  <c r="AA58" i="43"/>
  <c r="W58" i="43"/>
  <c r="G63" i="43"/>
  <c r="S63" i="43"/>
  <c r="Q63" i="43"/>
  <c r="AG63" i="43"/>
  <c r="O63" i="43"/>
  <c r="AE63" i="43"/>
  <c r="M63" i="43"/>
  <c r="AC63" i="43"/>
  <c r="AA63" i="43"/>
  <c r="K63" i="43"/>
  <c r="Y63" i="43"/>
  <c r="W63" i="43"/>
  <c r="U63" i="43"/>
  <c r="G57" i="43"/>
  <c r="AG57" i="43"/>
  <c r="AE57" i="43"/>
  <c r="AC57" i="43"/>
  <c r="Q57" i="43"/>
  <c r="O57" i="43"/>
  <c r="M57" i="43"/>
  <c r="K57" i="43"/>
  <c r="U57" i="43"/>
  <c r="S57" i="43"/>
  <c r="AA57" i="43"/>
  <c r="Y57" i="43"/>
  <c r="W57" i="43"/>
  <c r="G48" i="43"/>
  <c r="W48" i="43"/>
  <c r="U48" i="43"/>
  <c r="S48" i="43"/>
  <c r="AG48" i="43"/>
  <c r="Q48" i="43"/>
  <c r="AE48" i="43"/>
  <c r="O48" i="43"/>
  <c r="AC48" i="43"/>
  <c r="M48" i="43"/>
  <c r="AA48" i="43"/>
  <c r="K48" i="43"/>
  <c r="Y48" i="43"/>
  <c r="E14" i="4"/>
  <c r="C16" i="39" s="1"/>
  <c r="C43" i="2"/>
  <c r="E26" i="2"/>
  <c r="Q26" i="2" s="1"/>
  <c r="T26" i="2" s="1"/>
  <c r="C57" i="2"/>
  <c r="E57" i="2" s="1"/>
  <c r="B6" i="36"/>
  <c r="F18" i="16"/>
  <c r="C18" i="39"/>
  <c r="G18" i="39" s="1"/>
  <c r="Q51" i="2"/>
  <c r="T51" i="2" s="1"/>
  <c r="Q79" i="2"/>
  <c r="T79" i="2" s="1"/>
  <c r="B6" i="34"/>
  <c r="D24" i="28"/>
  <c r="Q49" i="2"/>
  <c r="T49" i="2" s="1"/>
  <c r="Q34" i="2"/>
  <c r="T34" i="2" s="1"/>
  <c r="E53" i="2"/>
  <c r="Q53" i="2" s="1"/>
  <c r="T53" i="2" s="1"/>
  <c r="Q45" i="2"/>
  <c r="T45" i="2" s="1"/>
  <c r="K68" i="2"/>
  <c r="M68" i="2"/>
  <c r="I68" i="2"/>
  <c r="G68" i="2"/>
  <c r="E68" i="2"/>
  <c r="O68" i="2"/>
  <c r="B6" i="32"/>
  <c r="F44" i="1"/>
  <c r="I44" i="1" s="1"/>
  <c r="C59" i="2"/>
  <c r="I34" i="14"/>
  <c r="I24" i="14"/>
  <c r="F61" i="1"/>
  <c r="I61" i="1" s="1"/>
  <c r="C65" i="2"/>
  <c r="C67" i="2"/>
  <c r="W59" i="43" l="1"/>
  <c r="AC59" i="43"/>
  <c r="U59" i="43"/>
  <c r="K59" i="43"/>
  <c r="G59" i="43"/>
  <c r="Y59" i="43"/>
  <c r="AA59" i="43"/>
  <c r="O59" i="43"/>
  <c r="Q59" i="43"/>
  <c r="AE59" i="43"/>
  <c r="M59" i="43"/>
  <c r="AG59" i="43"/>
  <c r="K69" i="2"/>
  <c r="G69" i="2"/>
  <c r="O69" i="2"/>
  <c r="E69" i="2"/>
  <c r="I69" i="2"/>
  <c r="A34" i="35"/>
  <c r="B35" i="37" s="1"/>
  <c r="A34" i="40"/>
  <c r="AI56" i="43"/>
  <c r="AI48" i="43"/>
  <c r="AI57" i="43"/>
  <c r="AI58" i="43"/>
  <c r="AI63" i="43"/>
  <c r="I16" i="39"/>
  <c r="I18" i="39"/>
  <c r="M16" i="39"/>
  <c r="F16" i="16"/>
  <c r="D20" i="28"/>
  <c r="E16" i="39"/>
  <c r="G16" i="39"/>
  <c r="K16" i="39"/>
  <c r="O16" i="39"/>
  <c r="M43" i="2"/>
  <c r="E43" i="2"/>
  <c r="I43" i="2"/>
  <c r="G43" i="2"/>
  <c r="K43" i="2"/>
  <c r="I57" i="2"/>
  <c r="G57" i="2"/>
  <c r="M18" i="39"/>
  <c r="K18" i="39"/>
  <c r="O18" i="39"/>
  <c r="E18" i="39"/>
  <c r="C75" i="2"/>
  <c r="K75" i="2" s="1"/>
  <c r="C62" i="2"/>
  <c r="O62" i="2" s="1"/>
  <c r="O65" i="2"/>
  <c r="I65" i="2"/>
  <c r="E65" i="2"/>
  <c r="G65" i="2"/>
  <c r="K65" i="2"/>
  <c r="M65" i="2"/>
  <c r="O67" i="2"/>
  <c r="I67" i="2"/>
  <c r="K67" i="2"/>
  <c r="E67" i="2"/>
  <c r="G67" i="2"/>
  <c r="M67" i="2"/>
  <c r="Q68" i="2"/>
  <c r="T68" i="2" s="1"/>
  <c r="I59" i="2"/>
  <c r="E59" i="2"/>
  <c r="G59" i="2"/>
  <c r="I35" i="14"/>
  <c r="I41" i="14" s="1"/>
  <c r="E62" i="15" s="1"/>
  <c r="D16" i="28"/>
  <c r="C60" i="2"/>
  <c r="AI59" i="43" l="1"/>
  <c r="Q69" i="2"/>
  <c r="T69" i="2" s="1"/>
  <c r="Q16" i="39"/>
  <c r="T16" i="39" s="1"/>
  <c r="Q18" i="39"/>
  <c r="T18" i="39" s="1"/>
  <c r="A35" i="35"/>
  <c r="B36" i="37" s="1"/>
  <c r="A35" i="40"/>
  <c r="F69" i="1"/>
  <c r="F72" i="43"/>
  <c r="Q57" i="2"/>
  <c r="T57" i="2" s="1"/>
  <c r="Q43" i="2"/>
  <c r="T43" i="2" s="1"/>
  <c r="C58" i="2"/>
  <c r="G58" i="2" s="1"/>
  <c r="M75" i="2"/>
  <c r="G62" i="2"/>
  <c r="O75" i="2"/>
  <c r="I75" i="2"/>
  <c r="E62" i="2"/>
  <c r="K62" i="2"/>
  <c r="M62" i="2"/>
  <c r="I62" i="2"/>
  <c r="Q59" i="2"/>
  <c r="T59" i="2" s="1"/>
  <c r="I60" i="2"/>
  <c r="G60" i="2"/>
  <c r="E60" i="2"/>
  <c r="Q65" i="2"/>
  <c r="T65" i="2" s="1"/>
  <c r="Q67" i="2"/>
  <c r="T67" i="2" s="1"/>
  <c r="C76" i="2"/>
  <c r="I45" i="1"/>
  <c r="C72" i="2"/>
  <c r="A36" i="35" l="1"/>
  <c r="B37" i="37" s="1"/>
  <c r="A36" i="40"/>
  <c r="I69" i="1"/>
  <c r="G72" i="43"/>
  <c r="O72" i="43"/>
  <c r="AC72" i="43"/>
  <c r="M72" i="43"/>
  <c r="AA72" i="43"/>
  <c r="K72" i="43"/>
  <c r="Y72" i="43"/>
  <c r="W72" i="43"/>
  <c r="U72" i="43"/>
  <c r="S72" i="43"/>
  <c r="Q72" i="43"/>
  <c r="AG72" i="43"/>
  <c r="AE72" i="43"/>
  <c r="E58" i="2"/>
  <c r="I58" i="2"/>
  <c r="Q75" i="2"/>
  <c r="T75" i="2" s="1"/>
  <c r="Q62" i="2"/>
  <c r="T62" i="2" s="1"/>
  <c r="Q60" i="2"/>
  <c r="T60" i="2" s="1"/>
  <c r="O76" i="2"/>
  <c r="M76" i="2"/>
  <c r="I76" i="2"/>
  <c r="K76" i="2"/>
  <c r="M72" i="2"/>
  <c r="G72" i="2"/>
  <c r="O72" i="2"/>
  <c r="E72" i="2"/>
  <c r="I72" i="2"/>
  <c r="K72" i="2"/>
  <c r="E19" i="4"/>
  <c r="C21" i="39" s="1"/>
  <c r="I70" i="1" l="1"/>
  <c r="A37" i="35"/>
  <c r="B38" i="37" s="1"/>
  <c r="A37" i="40"/>
  <c r="C83" i="2"/>
  <c r="O83" i="2" s="1"/>
  <c r="AI72" i="43"/>
  <c r="K21" i="39"/>
  <c r="Q58" i="2"/>
  <c r="T58" i="2" s="1"/>
  <c r="O21" i="39"/>
  <c r="M21" i="39"/>
  <c r="I21" i="39"/>
  <c r="G21" i="39"/>
  <c r="E21" i="39"/>
  <c r="Q72" i="2"/>
  <c r="T72" i="2" s="1"/>
  <c r="Q76" i="2"/>
  <c r="T76" i="2" s="1"/>
  <c r="F21" i="16"/>
  <c r="D28" i="28"/>
  <c r="E22" i="4" l="1"/>
  <c r="C24" i="39" s="1"/>
  <c r="A38" i="35"/>
  <c r="B39" i="37" s="1"/>
  <c r="A38" i="40"/>
  <c r="K23" i="33"/>
  <c r="E46" i="15" s="1"/>
  <c r="K83" i="2"/>
  <c r="M83" i="2"/>
  <c r="Q21" i="39"/>
  <c r="F24" i="16" l="1"/>
  <c r="D34" i="28"/>
  <c r="O24" i="39"/>
  <c r="K24" i="39"/>
  <c r="I24" i="39"/>
  <c r="M24" i="39"/>
  <c r="E24" i="39"/>
  <c r="G24" i="39"/>
  <c r="A39" i="35"/>
  <c r="B40" i="37" s="1"/>
  <c r="A39" i="40"/>
  <c r="P23" i="33"/>
  <c r="E44" i="15" s="1"/>
  <c r="F49" i="1" s="1"/>
  <c r="I49" i="1" s="1"/>
  <c r="L23" i="33"/>
  <c r="J32" i="32" s="1"/>
  <c r="F52" i="43"/>
  <c r="F51" i="1"/>
  <c r="I51" i="1" s="1"/>
  <c r="C66" i="2" s="1"/>
  <c r="Q83" i="2"/>
  <c r="T83" i="2" s="1"/>
  <c r="T21" i="39"/>
  <c r="Q24" i="39" l="1"/>
  <c r="T24" i="39" s="1"/>
  <c r="A40" i="35"/>
  <c r="B41" i="37" s="1"/>
  <c r="A40" i="40"/>
  <c r="F49" i="43"/>
  <c r="G66" i="2"/>
  <c r="K66" i="2"/>
  <c r="M66" i="2"/>
  <c r="I66" i="2"/>
  <c r="O66" i="2"/>
  <c r="E66" i="2"/>
  <c r="O52" i="43"/>
  <c r="AA52" i="43"/>
  <c r="Q52" i="43"/>
  <c r="AE52" i="43"/>
  <c r="G52" i="43"/>
  <c r="Y52" i="43"/>
  <c r="M52" i="43"/>
  <c r="U52" i="43"/>
  <c r="AG52" i="43"/>
  <c r="W52" i="43"/>
  <c r="S52" i="43"/>
  <c r="K52" i="43"/>
  <c r="AC52" i="43"/>
  <c r="A41" i="35" l="1"/>
  <c r="B42" i="37" s="1"/>
  <c r="A41" i="40"/>
  <c r="Q66" i="2"/>
  <c r="T66" i="2" s="1"/>
  <c r="C63" i="2"/>
  <c r="AI52" i="43"/>
  <c r="M49" i="43"/>
  <c r="Y49" i="43"/>
  <c r="W49" i="43"/>
  <c r="O49" i="43"/>
  <c r="K49" i="43"/>
  <c r="AA49" i="43"/>
  <c r="Q49" i="43"/>
  <c r="AG49" i="43"/>
  <c r="U49" i="43"/>
  <c r="S49" i="43"/>
  <c r="AC49" i="43"/>
  <c r="AE49" i="43"/>
  <c r="G49" i="43"/>
  <c r="E15" i="4"/>
  <c r="C48" i="2"/>
  <c r="A42" i="35" l="1"/>
  <c r="B43" i="37" s="1"/>
  <c r="A42" i="40"/>
  <c r="AI49" i="43"/>
  <c r="M63" i="2"/>
  <c r="K63" i="2"/>
  <c r="G63" i="2"/>
  <c r="I63" i="2"/>
  <c r="E63" i="2"/>
  <c r="O63" i="2"/>
  <c r="C17" i="39"/>
  <c r="E48" i="2"/>
  <c r="G48" i="2"/>
  <c r="I48" i="2"/>
  <c r="K48" i="2"/>
  <c r="M48" i="2"/>
  <c r="F17" i="16"/>
  <c r="D22" i="28"/>
  <c r="A43" i="35" l="1"/>
  <c r="B44" i="37" s="1"/>
  <c r="A43" i="40"/>
  <c r="Q63" i="2"/>
  <c r="T63" i="2" s="1"/>
  <c r="K17" i="39"/>
  <c r="M17" i="39"/>
  <c r="G17" i="39"/>
  <c r="I17" i="39"/>
  <c r="O17" i="39"/>
  <c r="E17" i="39"/>
  <c r="Q48" i="2"/>
  <c r="T48" i="2" s="1"/>
  <c r="Q17" i="39" l="1"/>
  <c r="T17" i="39" s="1"/>
  <c r="A45" i="40"/>
  <c r="A44" i="35"/>
  <c r="B45" i="37" s="1"/>
  <c r="A44" i="40"/>
  <c r="A45" i="35" l="1"/>
  <c r="B46" i="37" s="1"/>
  <c r="A46" i="40"/>
  <c r="B68" i="2"/>
  <c r="C12" i="2"/>
  <c r="E12" i="2" s="1"/>
  <c r="Q12" i="2" l="1"/>
  <c r="Q85" i="2" s="1"/>
  <c r="E85" i="2"/>
  <c r="E10" i="4"/>
  <c r="C85" i="2"/>
  <c r="D12" i="2" s="1"/>
  <c r="D85" i="2" s="1"/>
  <c r="T12" i="2" l="1"/>
  <c r="R85" i="2"/>
  <c r="D53" i="2"/>
  <c r="D46" i="2"/>
  <c r="D69" i="2"/>
  <c r="D21" i="2"/>
  <c r="D48" i="2"/>
  <c r="D71" i="2"/>
  <c r="D51" i="2"/>
  <c r="D13" i="2"/>
  <c r="D83" i="2"/>
  <c r="D81" i="2"/>
  <c r="D37" i="2"/>
  <c r="D43" i="2"/>
  <c r="D42" i="2"/>
  <c r="D16" i="2"/>
  <c r="D47" i="2"/>
  <c r="D15" i="2"/>
  <c r="D57" i="2"/>
  <c r="D68" i="2"/>
  <c r="D63" i="2"/>
  <c r="D80" i="2"/>
  <c r="D35" i="2"/>
  <c r="D41" i="2"/>
  <c r="D40" i="2"/>
  <c r="D14" i="2"/>
  <c r="D58" i="2"/>
  <c r="D36" i="2"/>
  <c r="D67" i="2"/>
  <c r="D39" i="2"/>
  <c r="D72" i="2"/>
  <c r="D59" i="2"/>
  <c r="D79" i="2"/>
  <c r="D75" i="2"/>
  <c r="D66" i="2"/>
  <c r="D70" i="2"/>
  <c r="D82" i="2"/>
  <c r="D20" i="2"/>
  <c r="D62" i="2"/>
  <c r="D50" i="2"/>
  <c r="D26" i="2"/>
  <c r="D34" i="2"/>
  <c r="D49" i="2"/>
  <c r="D22" i="2"/>
  <c r="D76" i="2"/>
  <c r="D45" i="2"/>
  <c r="D60" i="2"/>
  <c r="D38" i="2"/>
  <c r="D65" i="2"/>
  <c r="F10" i="16"/>
  <c r="C12" i="39"/>
  <c r="D10" i="28"/>
  <c r="F85" i="2"/>
  <c r="E86" i="2"/>
  <c r="O12" i="39" l="1"/>
  <c r="M12" i="39"/>
  <c r="K12" i="39"/>
  <c r="I12" i="39"/>
  <c r="G12" i="39"/>
  <c r="E12" i="39"/>
  <c r="F86" i="2"/>
  <c r="Q12" i="39" l="1"/>
  <c r="C19" i="2"/>
  <c r="G19" i="2" l="1"/>
  <c r="G85" i="2" s="1"/>
  <c r="D19" i="2"/>
  <c r="I19" i="2"/>
  <c r="I85" i="2" s="1"/>
  <c r="J85" i="2" s="1"/>
  <c r="E19" i="2"/>
  <c r="M19" i="2"/>
  <c r="M85" i="2" s="1"/>
  <c r="N85" i="2" s="1"/>
  <c r="K19" i="2"/>
  <c r="K85" i="2" s="1"/>
  <c r="L85" i="2" s="1"/>
  <c r="O19" i="2"/>
  <c r="O85" i="2" s="1"/>
  <c r="P85" i="2" s="1"/>
  <c r="Q19" i="2" l="1"/>
  <c r="T19" i="2" s="1"/>
  <c r="H85" i="2"/>
  <c r="H86" i="2" s="1"/>
  <c r="J86" i="2" s="1"/>
  <c r="L86" i="2" s="1"/>
  <c r="N86" i="2" s="1"/>
  <c r="P86" i="2" s="1"/>
  <c r="G86" i="2"/>
  <c r="I86" i="2" s="1"/>
  <c r="K86" i="2" s="1"/>
  <c r="M86" i="2" s="1"/>
  <c r="O86" i="2" s="1"/>
  <c r="D12" i="28" l="1"/>
  <c r="F12" i="16"/>
  <c r="D38" i="28" l="1"/>
  <c r="C26" i="28" l="1"/>
  <c r="C34" i="28"/>
  <c r="I56" i="28"/>
  <c r="C24" i="28"/>
  <c r="C16" i="28"/>
  <c r="C22" i="28"/>
  <c r="C10" i="28"/>
  <c r="C38" i="28" s="1"/>
  <c r="C20" i="28"/>
  <c r="C14" i="28"/>
  <c r="C28" i="28"/>
  <c r="C12" i="28"/>
  <c r="H57" i="28" l="1"/>
  <c r="G56" i="28"/>
  <c r="I25" i="28" l="1"/>
  <c r="O17" i="28"/>
  <c r="G29" i="28"/>
  <c r="K29" i="28"/>
  <c r="O21" i="28"/>
  <c r="M21" i="28"/>
  <c r="K11" i="28"/>
  <c r="M17" i="28"/>
  <c r="O25" i="28"/>
  <c r="G35" i="28"/>
  <c r="K21" i="28"/>
  <c r="K17" i="28"/>
  <c r="G17" i="28"/>
  <c r="K35" i="28"/>
  <c r="G57" i="28"/>
  <c r="G25" i="28"/>
  <c r="M25" i="28"/>
  <c r="I11" i="28"/>
  <c r="M11" i="28"/>
  <c r="G21" i="28"/>
  <c r="I21" i="28"/>
  <c r="I17" i="28"/>
  <c r="G23" i="28"/>
  <c r="K25" i="28"/>
  <c r="O29" i="28"/>
  <c r="O11" i="28"/>
  <c r="I35" i="28"/>
  <c r="M23" i="28"/>
  <c r="M29" i="28"/>
  <c r="I23" i="28"/>
  <c r="O35" i="28"/>
  <c r="K23" i="28"/>
  <c r="O23" i="28"/>
  <c r="I29" i="28"/>
  <c r="G11" i="28"/>
  <c r="M35" i="28"/>
  <c r="O13" i="28"/>
  <c r="K13" i="28"/>
  <c r="M13" i="28"/>
  <c r="G13" i="28"/>
  <c r="I13" i="28"/>
  <c r="L23" i="28" l="1"/>
  <c r="J23" i="28"/>
  <c r="L35" i="28"/>
  <c r="J21" i="28"/>
  <c r="N11" i="28"/>
  <c r="J17" i="28"/>
  <c r="H23" i="28"/>
  <c r="L11" i="28"/>
  <c r="F17" i="28"/>
  <c r="P17" i="28" s="1"/>
  <c r="R17" i="28" s="1"/>
  <c r="N23" i="28"/>
  <c r="H17" i="28"/>
  <c r="L17" i="28"/>
  <c r="N21" i="28"/>
  <c r="I57" i="28"/>
  <c r="J35" i="28"/>
  <c r="L21" i="28"/>
  <c r="N25" i="28"/>
  <c r="H29" i="28"/>
  <c r="H35" i="28"/>
  <c r="F21" i="28"/>
  <c r="P21" i="28" s="1"/>
  <c r="R21" i="28" s="1"/>
  <c r="F11" i="28"/>
  <c r="P11" i="28" s="1"/>
  <c r="R11" i="28" s="1"/>
  <c r="L25" i="28"/>
  <c r="N17" i="28"/>
  <c r="H25" i="28"/>
  <c r="J25" i="28"/>
  <c r="N35" i="28"/>
  <c r="J11" i="28"/>
  <c r="F29" i="28"/>
  <c r="P29" i="28" s="1"/>
  <c r="R29" i="28" s="1"/>
  <c r="F25" i="28"/>
  <c r="P25" i="28" s="1"/>
  <c r="R25" i="28" s="1"/>
  <c r="F23" i="28"/>
  <c r="P23" i="28" s="1"/>
  <c r="R23" i="28" s="1"/>
  <c r="J29" i="28"/>
  <c r="L29" i="28"/>
  <c r="H11" i="28"/>
  <c r="F35" i="28"/>
  <c r="H21" i="28"/>
  <c r="N29" i="28"/>
  <c r="H13" i="28"/>
  <c r="N13" i="28"/>
  <c r="F13" i="28"/>
  <c r="P13" i="28" s="1"/>
  <c r="R13" i="28" s="1"/>
  <c r="J13" i="28"/>
  <c r="L13" i="28"/>
  <c r="P35" i="28" l="1"/>
  <c r="R35" i="28" l="1"/>
  <c r="C28" i="2" l="1"/>
  <c r="G28" i="2" l="1"/>
  <c r="I28" i="2"/>
  <c r="E28" i="2"/>
  <c r="D28" i="2"/>
  <c r="Q28" i="2" l="1"/>
  <c r="T28" i="2" s="1"/>
  <c r="C30" i="2"/>
  <c r="C32" i="2"/>
  <c r="C31" i="2"/>
  <c r="C29" i="2"/>
  <c r="G31" i="2" l="1"/>
  <c r="E31" i="2"/>
  <c r="G29" i="2"/>
  <c r="D29" i="2"/>
  <c r="I29" i="2"/>
  <c r="E29" i="2"/>
  <c r="D32" i="2"/>
  <c r="E32" i="2"/>
  <c r="I32" i="2"/>
  <c r="G32" i="2"/>
  <c r="G30" i="2"/>
  <c r="I30" i="2"/>
  <c r="D30" i="2"/>
  <c r="E30" i="2"/>
  <c r="D31" i="2"/>
  <c r="I24" i="1"/>
  <c r="I31" i="2"/>
  <c r="Q32" i="2" l="1"/>
  <c r="T32" i="2" s="1"/>
  <c r="Q31" i="2"/>
  <c r="T31" i="2" s="1"/>
  <c r="Q30" i="2"/>
  <c r="T30" i="2" s="1"/>
  <c r="E13" i="4"/>
  <c r="Q29" i="2"/>
  <c r="T29" i="2" s="1"/>
  <c r="F15" i="16" l="1"/>
  <c r="D18" i="28"/>
  <c r="C15" i="39"/>
  <c r="I15" i="39" s="1"/>
  <c r="G15" i="39" l="1"/>
  <c r="M15" i="39"/>
  <c r="K15" i="39"/>
  <c r="O15" i="39"/>
  <c r="E15" i="39"/>
  <c r="M19" i="28"/>
  <c r="L19" i="28"/>
  <c r="J19" i="28"/>
  <c r="K19" i="28"/>
  <c r="C18" i="28"/>
  <c r="O19" i="28"/>
  <c r="H19" i="28"/>
  <c r="F19" i="28"/>
  <c r="G19" i="28"/>
  <c r="I19" i="28"/>
  <c r="N19" i="28"/>
  <c r="S16" i="12"/>
  <c r="Q15" i="39" l="1"/>
  <c r="P19" i="28"/>
  <c r="R19" i="28" l="1"/>
  <c r="T15" i="39"/>
  <c r="O23" i="33" l="1"/>
  <c r="E43" i="15" s="1"/>
  <c r="F48" i="1" s="1"/>
  <c r="I48" i="1" s="1"/>
  <c r="C64" i="2" l="1"/>
  <c r="K64" i="2" l="1"/>
  <c r="E64" i="2"/>
  <c r="G64" i="2"/>
  <c r="M64" i="2"/>
  <c r="O64" i="2"/>
  <c r="I64" i="2"/>
  <c r="D64" i="2"/>
  <c r="Q64" i="2" l="1"/>
  <c r="T64" i="2" s="1"/>
  <c r="E48" i="35" l="1"/>
  <c r="I48" i="35" l="1"/>
  <c r="L48" i="35" l="1"/>
  <c r="C49" i="35" s="1"/>
  <c r="J48" i="35"/>
  <c r="E57" i="15" s="1"/>
  <c r="C77" i="2" l="1"/>
  <c r="I64" i="1"/>
  <c r="E21" i="4" s="1"/>
  <c r="D32" i="28" l="1"/>
  <c r="C23" i="39"/>
  <c r="K23" i="39" s="1"/>
  <c r="F23" i="16"/>
  <c r="M77" i="2"/>
  <c r="I77" i="2"/>
  <c r="K77" i="2"/>
  <c r="O77" i="2"/>
  <c r="D77" i="2"/>
  <c r="Q77" i="2" l="1"/>
  <c r="T77" i="2" s="1"/>
  <c r="M23" i="39"/>
  <c r="G23" i="39"/>
  <c r="O23" i="39"/>
  <c r="E23" i="39"/>
  <c r="I23" i="39"/>
  <c r="C32" i="28"/>
  <c r="O33" i="28"/>
  <c r="K33" i="28"/>
  <c r="G33" i="28"/>
  <c r="I33" i="28"/>
  <c r="M33" i="28"/>
  <c r="L33" i="28"/>
  <c r="J33" i="28"/>
  <c r="F33" i="28"/>
  <c r="P33" i="28" s="1"/>
  <c r="R33" i="28" s="1"/>
  <c r="H33" i="28"/>
  <c r="N33" i="28"/>
  <c r="Q23" i="39" l="1"/>
  <c r="T23" i="39" s="1"/>
  <c r="F56" i="1"/>
  <c r="I56" i="1" l="1"/>
  <c r="F60" i="43"/>
  <c r="I59" i="1" l="1"/>
  <c r="I71" i="1" s="1"/>
  <c r="C73" i="2"/>
  <c r="M60" i="43"/>
  <c r="W60" i="43"/>
  <c r="Y60" i="43"/>
  <c r="AG60" i="43"/>
  <c r="AC60" i="43"/>
  <c r="K60" i="43"/>
  <c r="AE60" i="43"/>
  <c r="U60" i="43"/>
  <c r="O60" i="43"/>
  <c r="AA60" i="43"/>
  <c r="Q60" i="43"/>
  <c r="G60" i="43"/>
  <c r="S60" i="43"/>
  <c r="E20" i="4" l="1"/>
  <c r="D30" i="28" s="1"/>
  <c r="J10" i="1"/>
  <c r="AI60" i="43"/>
  <c r="K73" i="2"/>
  <c r="G73" i="2"/>
  <c r="I73" i="2"/>
  <c r="M73" i="2"/>
  <c r="E73" i="2"/>
  <c r="O73" i="2"/>
  <c r="D73" i="2"/>
  <c r="F22" i="16" l="1"/>
  <c r="F27" i="16" s="1"/>
  <c r="J9" i="16" s="1"/>
  <c r="L10" i="16" s="1"/>
  <c r="C22" i="39"/>
  <c r="O22" i="39" s="1"/>
  <c r="O26" i="39" s="1"/>
  <c r="E24" i="4"/>
  <c r="F20" i="4" s="1"/>
  <c r="D22" i="39" s="1"/>
  <c r="J42" i="1"/>
  <c r="J17" i="1"/>
  <c r="Q73" i="2"/>
  <c r="T73" i="2" s="1"/>
  <c r="N31" i="28"/>
  <c r="N38" i="28" s="1"/>
  <c r="C30" i="28"/>
  <c r="F31" i="28"/>
  <c r="J31" i="28"/>
  <c r="J38" i="28" s="1"/>
  <c r="L31" i="28"/>
  <c r="L38" i="28" s="1"/>
  <c r="G31" i="28"/>
  <c r="G38" i="28" s="1"/>
  <c r="G39" i="28" s="1"/>
  <c r="K31" i="28"/>
  <c r="K38" i="28" s="1"/>
  <c r="O31" i="28"/>
  <c r="O38" i="28" s="1"/>
  <c r="M31" i="28"/>
  <c r="M38" i="28" s="1"/>
  <c r="I31" i="28"/>
  <c r="I38" i="28" s="1"/>
  <c r="H31" i="28"/>
  <c r="H38" i="28" s="1"/>
  <c r="F13" i="4" l="1"/>
  <c r="D15" i="39" s="1"/>
  <c r="F21" i="4"/>
  <c r="D23" i="39" s="1"/>
  <c r="J11" i="16"/>
  <c r="L11" i="16" s="1"/>
  <c r="F15" i="4"/>
  <c r="D17" i="39" s="1"/>
  <c r="F10" i="4"/>
  <c r="D12" i="39" s="1"/>
  <c r="F19" i="4"/>
  <c r="D21" i="39" s="1"/>
  <c r="E22" i="39"/>
  <c r="E26" i="39" s="1"/>
  <c r="G22" i="39"/>
  <c r="G26" i="39" s="1"/>
  <c r="F14" i="4"/>
  <c r="D16" i="39" s="1"/>
  <c r="C26" i="39"/>
  <c r="P26" i="39" s="1"/>
  <c r="F16" i="4"/>
  <c r="D18" i="39" s="1"/>
  <c r="M22" i="39"/>
  <c r="M26" i="39" s="1"/>
  <c r="I22" i="39"/>
  <c r="I26" i="39" s="1"/>
  <c r="K22" i="39"/>
  <c r="K26" i="39" s="1"/>
  <c r="F22" i="4"/>
  <c r="D24" i="39" s="1"/>
  <c r="J71" i="1"/>
  <c r="H40" i="28"/>
  <c r="N40" i="28"/>
  <c r="I39" i="28"/>
  <c r="K39" i="28" s="1"/>
  <c r="M39" i="28" s="1"/>
  <c r="O39" i="28" s="1"/>
  <c r="L40" i="28"/>
  <c r="J40" i="28"/>
  <c r="P31" i="28"/>
  <c r="F38" i="28"/>
  <c r="L9" i="16" l="1"/>
  <c r="N26" i="39"/>
  <c r="L26" i="39"/>
  <c r="J12" i="16"/>
  <c r="J26" i="39"/>
  <c r="H26" i="39"/>
  <c r="Q22" i="39"/>
  <c r="Q26" i="39" s="1"/>
  <c r="R26" i="39" s="1"/>
  <c r="F24" i="4"/>
  <c r="D26" i="39"/>
  <c r="P38" i="28"/>
  <c r="R31" i="28"/>
  <c r="E10" i="16"/>
  <c r="E22" i="16"/>
  <c r="D22" i="16" s="1"/>
  <c r="E21" i="16"/>
  <c r="D21" i="16" s="1"/>
  <c r="E15" i="16"/>
  <c r="D15" i="16" s="1"/>
  <c r="E17" i="16"/>
  <c r="D17" i="16" s="1"/>
  <c r="E16" i="16"/>
  <c r="D16" i="16" s="1"/>
  <c r="E23" i="16"/>
  <c r="D23" i="16" s="1"/>
  <c r="E18" i="16"/>
  <c r="D18" i="16" s="1"/>
  <c r="E24" i="16"/>
  <c r="D24" i="16" s="1"/>
  <c r="E12" i="16"/>
  <c r="D12" i="16" s="1"/>
  <c r="F40" i="28"/>
  <c r="P40" i="28" s="1"/>
  <c r="F39" i="28"/>
  <c r="H39" i="28" s="1"/>
  <c r="J39" i="28" s="1"/>
  <c r="L39" i="28" s="1"/>
  <c r="N39" i="28" s="1"/>
  <c r="E27" i="39"/>
  <c r="F26" i="39"/>
  <c r="T22" i="39" l="1"/>
  <c r="F27" i="39"/>
  <c r="H27" i="39" s="1"/>
  <c r="J27" i="39" s="1"/>
  <c r="L27" i="39" s="1"/>
  <c r="N27" i="39" s="1"/>
  <c r="P27" i="39" s="1"/>
  <c r="G27" i="39"/>
  <c r="I27" i="39" s="1"/>
  <c r="K27" i="39" s="1"/>
  <c r="M27" i="39" s="1"/>
  <c r="O27" i="39" s="1"/>
  <c r="D10" i="16"/>
  <c r="D27" i="16" s="1"/>
  <c r="E27" i="16"/>
</calcChain>
</file>

<file path=xl/sharedStrings.xml><?xml version="1.0" encoding="utf-8"?>
<sst xmlns="http://schemas.openxmlformats.org/spreadsheetml/2006/main" count="1662" uniqueCount="782">
  <si>
    <t>ITEM</t>
  </si>
  <si>
    <t>DESCRIÇÃO DO ITEM</t>
  </si>
  <si>
    <t>UNID</t>
  </si>
  <si>
    <t>QUANT</t>
  </si>
  <si>
    <t>(%)</t>
  </si>
  <si>
    <t>m</t>
  </si>
  <si>
    <t>m²</t>
  </si>
  <si>
    <t>TOTAL DO ITEM</t>
  </si>
  <si>
    <t xml:space="preserve">Obra: </t>
  </si>
  <si>
    <t>CRONOGRAMA FISICO FINANCEIRO</t>
  </si>
  <si>
    <t>DESCRIÇÃO / ETAPA</t>
  </si>
  <si>
    <t>PERIODO</t>
  </si>
  <si>
    <t>À Executar</t>
  </si>
  <si>
    <t>TOTAL</t>
  </si>
  <si>
    <t>Valor(R$)</t>
  </si>
  <si>
    <t>%</t>
  </si>
  <si>
    <t>Valor (R$)</t>
  </si>
  <si>
    <t>Valor Do Mês</t>
  </si>
  <si>
    <t>Valor Acomulado</t>
  </si>
  <si>
    <t>RESUMO SINTÉTICO</t>
  </si>
  <si>
    <t>DESCRIÇÃO DOS SERVIÇOS</t>
  </si>
  <si>
    <t>VALOR ÍTEM</t>
  </si>
  <si>
    <t xml:space="preserve">Local: </t>
  </si>
  <si>
    <t>1.1</t>
  </si>
  <si>
    <t>2.1</t>
  </si>
  <si>
    <t>3.1</t>
  </si>
  <si>
    <t>3.2</t>
  </si>
  <si>
    <t>3.3</t>
  </si>
  <si>
    <t>3.4</t>
  </si>
  <si>
    <t>3.5</t>
  </si>
  <si>
    <t>SERVIÇOS PRELIMINARES</t>
  </si>
  <si>
    <t>m³</t>
  </si>
  <si>
    <t>2.2</t>
  </si>
  <si>
    <t>2.3</t>
  </si>
  <si>
    <t>2.4</t>
  </si>
  <si>
    <t>M²</t>
  </si>
  <si>
    <t>74209/001</t>
  </si>
  <si>
    <t>2.5</t>
  </si>
  <si>
    <t>3.1.1</t>
  </si>
  <si>
    <t>3.3.1</t>
  </si>
  <si>
    <t>3.4.1</t>
  </si>
  <si>
    <t>3.5.1</t>
  </si>
  <si>
    <t>PAVIMENTAÇÃO</t>
  </si>
  <si>
    <t>ÁREAS:</t>
  </si>
  <si>
    <t>1.2</t>
  </si>
  <si>
    <t>1.3</t>
  </si>
  <si>
    <t>2.6</t>
  </si>
  <si>
    <t>3.6</t>
  </si>
  <si>
    <t>OBRAS COMPLEMENTARES DE PAVIMENTAÇÃO</t>
  </si>
  <si>
    <t>UND</t>
  </si>
  <si>
    <t>DRENAGEM DE ÁGUAS PLUVIAIS</t>
  </si>
  <si>
    <t>ELEMENTOS AUXILIARES</t>
  </si>
  <si>
    <t>SINALIZAÇÃO</t>
  </si>
  <si>
    <t>74221/001</t>
  </si>
  <si>
    <t>SINALIZACAO DE TRANSITO - NOTURNA</t>
  </si>
  <si>
    <t>ESTADO DE MATO GROSSO</t>
  </si>
  <si>
    <t>OBRA:</t>
  </si>
  <si>
    <t>LOCAL:</t>
  </si>
  <si>
    <t>PROPR.:</t>
  </si>
  <si>
    <t>ÁREA (M²):</t>
  </si>
  <si>
    <t>BDI:</t>
  </si>
  <si>
    <t>TABELA:</t>
  </si>
  <si>
    <t>Item</t>
  </si>
  <si>
    <t>Rua/Avenida</t>
  </si>
  <si>
    <t>Área (m²)</t>
  </si>
  <si>
    <t>Limpa-Rodas</t>
  </si>
  <si>
    <t>Área Total (m²)</t>
  </si>
  <si>
    <t>Código</t>
  </si>
  <si>
    <t>Quant.</t>
  </si>
  <si>
    <t>Área Parcial (m²)</t>
  </si>
  <si>
    <t>Totais Parciais - m²</t>
  </si>
  <si>
    <t>Total Geral - m²</t>
  </si>
  <si>
    <t>Lado Direito</t>
  </si>
  <si>
    <t>Totais Parciais - m</t>
  </si>
  <si>
    <t>MEMÓRIA DE CÁLCULO</t>
  </si>
  <si>
    <t>1.0</t>
  </si>
  <si>
    <t>Tubulação D=40cm</t>
  </si>
  <si>
    <t>Tubulação D=60cm</t>
  </si>
  <si>
    <t>Dissipador de energia</t>
  </si>
  <si>
    <t>und</t>
  </si>
  <si>
    <t>2.0</t>
  </si>
  <si>
    <t>Tubulação D=80cm</t>
  </si>
  <si>
    <t>Tubulação D=100cm</t>
  </si>
  <si>
    <t>Tubulação D=120cm</t>
  </si>
  <si>
    <t>Tubulação D=150cm</t>
  </si>
  <si>
    <t>Boca de lobo simples</t>
  </si>
  <si>
    <t>3.0</t>
  </si>
  <si>
    <t>4.0</t>
  </si>
  <si>
    <t>RUA</t>
  </si>
  <si>
    <t>TUBULAÇÃO</t>
  </si>
  <si>
    <t>BOCA DE LOBO</t>
  </si>
  <si>
    <t>CAIXA DE PASSAGEM</t>
  </si>
  <si>
    <t>DISSIPADOR</t>
  </si>
  <si>
    <t>Ø 40cm</t>
  </si>
  <si>
    <t>Ø 60cm</t>
  </si>
  <si>
    <t>Ø 80cm</t>
  </si>
  <si>
    <t>Ø 100cm</t>
  </si>
  <si>
    <t>Ø 120cm</t>
  </si>
  <si>
    <t>SIMP</t>
  </si>
  <si>
    <t>TOTAL PARCIAL - M</t>
  </si>
  <si>
    <t>TOTAL GERAL - M</t>
  </si>
  <si>
    <t>Lado esquerdo</t>
  </si>
  <si>
    <t>PLACA DE OBRA EM CHAPA DE ACO GALVANIZADO</t>
  </si>
  <si>
    <t>SERVIÇOS PRELIMINARES GERAL</t>
  </si>
  <si>
    <t>REGULARIZACAO E COMPACTACAO DE SUBLEITO ATE 20 CM DE ESPESSURA</t>
  </si>
  <si>
    <t>SINALIZAÇÃO HORIZONTAL E VERTICAL</t>
  </si>
  <si>
    <t>1-MEMORIAL DE CÁLCULO DO FORNECIMENTO E IMPLANTAÇÃO DE PLACAS DE SINALIZAÇÃO</t>
  </si>
  <si>
    <t>Área =</t>
  </si>
  <si>
    <t>x</t>
  </si>
  <si>
    <t>ud</t>
  </si>
  <si>
    <t>=</t>
  </si>
  <si>
    <t>1.4</t>
  </si>
  <si>
    <t>A-32b (faixa ped.)</t>
  </si>
  <si>
    <t>Lado: 0,50x0,50m</t>
  </si>
  <si>
    <t>2-SUPORTE E TRAVESSAS PARA FIXAÇÃO DAS PLACAS</t>
  </si>
  <si>
    <t>PLACAS DE SINALIZAÇÃO</t>
  </si>
  <si>
    <t>PLACAS DE INDICAÇÃO D RUA</t>
  </si>
  <si>
    <t>3-TINTA ACRILICA PARA PINTURA VIÁRIA</t>
  </si>
  <si>
    <t>LISTRAS "SECCIONADAS" DE 4M</t>
  </si>
  <si>
    <t>Largura</t>
  </si>
  <si>
    <t>Comp.</t>
  </si>
  <si>
    <t>Quant</t>
  </si>
  <si>
    <t>Total</t>
  </si>
  <si>
    <t>FAIXAS DE PEDRESTRES</t>
  </si>
  <si>
    <t>Comprim</t>
  </si>
  <si>
    <t>Nr. Bloco</t>
  </si>
  <si>
    <t>FAIXAS D BORDO</t>
  </si>
  <si>
    <t>Comprim.</t>
  </si>
  <si>
    <t xml:space="preserve">TOTAL </t>
  </si>
  <si>
    <t>RESUMO</t>
  </si>
  <si>
    <t>PREÇO UNIT COM BDI</t>
  </si>
  <si>
    <t>PLANILHA ORÇAMENTÁRIA</t>
  </si>
  <si>
    <t>MOVIMENTO DE TERRA</t>
  </si>
  <si>
    <t>FORNECIMENTO E ASSENTAMENTO DE TUBOS</t>
  </si>
  <si>
    <t>TERRAPLANAGEM</t>
  </si>
  <si>
    <t>SINALIZAÇÃO VIÁRIA</t>
  </si>
  <si>
    <t>TABELA REFERÊNCIA</t>
  </si>
  <si>
    <t>DISCRIMINAÇÃO</t>
  </si>
  <si>
    <t>COMPR</t>
  </si>
  <si>
    <t>ALT</t>
  </si>
  <si>
    <t>LARG</t>
  </si>
  <si>
    <t>74205/001</t>
  </si>
  <si>
    <t>ESCAVACAO MECANICA DE MATERIAL 1A. CATEGORIA, PROVENIENTE DE CORTE DE SUBLEITO (C/TRATOR ESTEIRAS 160HP)</t>
  </si>
  <si>
    <t>Ver planilha de Drenagem</t>
  </si>
  <si>
    <t>π x r²</t>
  </si>
  <si>
    <t>Ver planilha de sinalização</t>
  </si>
  <si>
    <t>Ver projeto de Drenagem</t>
  </si>
  <si>
    <r>
      <t>R-05  (</t>
    </r>
    <r>
      <rPr>
        <sz val="10"/>
        <rFont val="Calibri"/>
        <family val="2"/>
      </rPr>
      <t>∆</t>
    </r>
    <r>
      <rPr>
        <sz val="10"/>
        <rFont val="Arial"/>
        <family val="2"/>
      </rPr>
      <t>) (Nome das Ruas)</t>
    </r>
  </si>
  <si>
    <t>(Extensão do meio fio)</t>
  </si>
  <si>
    <t>TOTAL DA PLANILHA</t>
  </si>
  <si>
    <t>2.5.1</t>
  </si>
  <si>
    <t>3.2.1</t>
  </si>
  <si>
    <t>3.2.2</t>
  </si>
  <si>
    <t>3.2.3</t>
  </si>
  <si>
    <t>3.3.2</t>
  </si>
  <si>
    <t>QCI - QUADRO DE COMPOSIÇÃO DO INVESTIMENTO</t>
  </si>
  <si>
    <t>Contrapartida</t>
  </si>
  <si>
    <t>COMPOSIÇÃO DE BDI</t>
  </si>
  <si>
    <t>ITENS COMPONENTE DO BDI</t>
  </si>
  <si>
    <t>RISCO</t>
  </si>
  <si>
    <t>DESPESAS FINANCEIRAS</t>
  </si>
  <si>
    <t>ADMINISTRAÇÃO CENTRAL</t>
  </si>
  <si>
    <t>LUCRO</t>
  </si>
  <si>
    <t>4.1</t>
  </si>
  <si>
    <t>4.2</t>
  </si>
  <si>
    <t>4.3</t>
  </si>
  <si>
    <t>4.4</t>
  </si>
  <si>
    <t>4.5</t>
  </si>
  <si>
    <t>4.6</t>
  </si>
  <si>
    <t>4.7</t>
  </si>
  <si>
    <t>4.8</t>
  </si>
  <si>
    <t>5.0</t>
  </si>
  <si>
    <t>EXTENSÃO</t>
  </si>
  <si>
    <t>Caixa Coletora</t>
  </si>
  <si>
    <t>ROBSON DARCIO SOUSA</t>
  </si>
  <si>
    <t>POÇO DE VISITA (Ø60)</t>
  </si>
  <si>
    <t>POÇO DE VISITA (Ø80)</t>
  </si>
  <si>
    <t>3.9</t>
  </si>
  <si>
    <t>Poço de Visita - Coletor de Ø80</t>
  </si>
  <si>
    <t>Poço de Visita - Coletor de Ø60</t>
  </si>
  <si>
    <t>4.9</t>
  </si>
  <si>
    <t>TRATAMENTO SUPERFICIAL DUPLO - TSD, COM EMULSAO RR-2C</t>
  </si>
  <si>
    <t>CAPA SELANTE COM EMULSAO RR-2C, INCLUSO APLICACAO E COMPACTACAO</t>
  </si>
  <si>
    <t xml:space="preserve">Equipamentos                  </t>
  </si>
  <si>
    <t xml:space="preserve">Unid </t>
  </si>
  <si>
    <t xml:space="preserve">Qtde </t>
  </si>
  <si>
    <t xml:space="preserve">Custo Unit </t>
  </si>
  <si>
    <t xml:space="preserve">Custo Total </t>
  </si>
  <si>
    <t>Cód. Sinapi</t>
  </si>
  <si>
    <t>CAMINHÃO BASCULANTE 204 CV (VU=7 ANOS/14.000H) - CHP DIURNO</t>
  </si>
  <si>
    <t>CHP</t>
  </si>
  <si>
    <t>ROLO COMPACTADOR DE PNEUS ESTATICO, PRESSÃO VARIÁVEL, POTENCIA 11 HP - PESO SEM/COM LASTRO 9,5/22,4T</t>
  </si>
  <si>
    <t>CHI</t>
  </si>
  <si>
    <t>DISTRIBUIDOR DE BETUME 6000L - 56CV - SOB PRESSÃO MONTADO SOBRE CHASSIS DE CAMINHÃO</t>
  </si>
  <si>
    <t>DISTRIBUIDOR DE BETUME 6000L - 56CV - SOB PRESSÃO MONTADO SOBRE CHASSIS DE CAMINHÃO - MANUTENÇÃO</t>
  </si>
  <si>
    <t>H</t>
  </si>
  <si>
    <t>DISTRIBUIDOR DE AGREGADOS AUTROPELIDO, CAP 3 M³, A DISEL, 6CC</t>
  </si>
  <si>
    <t xml:space="preserve">Total de equipamentos                                                               </t>
  </si>
  <si>
    <t xml:space="preserve">Mao de Obra                   </t>
  </si>
  <si>
    <t xml:space="preserve">H     </t>
  </si>
  <si>
    <t xml:space="preserve">Total de mão de obra                                                                 </t>
  </si>
  <si>
    <t xml:space="preserve">Material                      </t>
  </si>
  <si>
    <t>EMULSÃO ASFÁLTICA CATIÔNICA RR-2C P/ USO EM PAVIMENTAÇÃO ASFÁLTICA</t>
  </si>
  <si>
    <t xml:space="preserve">KG    </t>
  </si>
  <si>
    <t xml:space="preserve">M3    </t>
  </si>
  <si>
    <t xml:space="preserve">Total de material                                                            </t>
  </si>
  <si>
    <t xml:space="preserve">Preco de Custo                                                        </t>
  </si>
  <si>
    <t xml:space="preserve">Bonificacao                                                           </t>
  </si>
  <si>
    <t xml:space="preserve">Preco de Venda                                                        </t>
  </si>
  <si>
    <t>COMPACTADOR DE PNEUS AUTO-PROPULSOR DIESEL 76HP C/7 PNEUS-CI- PESO 5,5/20T INCL OPERADOR</t>
  </si>
  <si>
    <t>ESPALHADOR AGREG REBOCAVEL CAPAC RASA 1,3M3 PESO 860KG (CP) DIAM ROLO 127MM (5") - EXCL OPERADOR</t>
  </si>
  <si>
    <t>TRATOR DE PNEUS MOTOR DIESEL 61CV INCL OPERADOR (CP)</t>
  </si>
  <si>
    <t>DISTRIBUIDOR BETUME SOB PRESSAO GAS (CP) SOBRE CHASSIS CAMINHAO - INCL ESTE C/MOTORISTA</t>
  </si>
  <si>
    <t>INSTALACAO DE AQUECIMENTO E ARMAZENAMENTO DE ASFALTO (CP) EM 2 TANQUES DE 30000L CADA - INCL OPERADOR</t>
  </si>
  <si>
    <t>área de pavimentação</t>
  </si>
  <si>
    <t>PAVIMENTAÇÃO EM TSD</t>
  </si>
  <si>
    <t>Total Geral  - m</t>
  </si>
  <si>
    <t>R-01 (Pare)</t>
  </si>
  <si>
    <t>Lado=0,21m / Ø0,50m</t>
  </si>
  <si>
    <t>FAIXA DE RETENÇÃO</t>
  </si>
  <si>
    <t>LINHA DE APROXIMAÇÃO (AMARELA/BRANCA)</t>
  </si>
  <si>
    <t>ÁREA(m²)</t>
  </si>
  <si>
    <t>LETREIRO "PARE"</t>
  </si>
  <si>
    <t>PAVIMENTAÇÃO ASFÁLTICA E DRENAGEM DE VIAS PÚBLICAS</t>
  </si>
  <si>
    <t>3.6.1</t>
  </si>
  <si>
    <t>3.9.1</t>
  </si>
  <si>
    <t xml:space="preserve">QUADRO DEMONSTRATIVO DE PAVIMENTAÇÃO </t>
  </si>
  <si>
    <t xml:space="preserve">Área da terraplenagem do pav. </t>
  </si>
  <si>
    <t>Ver Quantitativo de Transporte (Brita)</t>
  </si>
  <si>
    <t>Ver Quantitativo de Transporte (CM30 + RR-2C)</t>
  </si>
  <si>
    <t>ENSAIOS DE BASE ESTABILIZADA GRANULOMETRICAMENTE</t>
  </si>
  <si>
    <t>ENSAIO DE VISCOSIDADE SAYBOLT - FUROL - MATERIAL BETUMINOSO</t>
  </si>
  <si>
    <t>74022/002</t>
  </si>
  <si>
    <t>1.5</t>
  </si>
  <si>
    <t>ENSAIO DE PENETRACAO - MATERIAL BETUMINOSO</t>
  </si>
  <si>
    <t>74022/001</t>
  </si>
  <si>
    <t>POÇO DE VISITA (Ø100)</t>
  </si>
  <si>
    <t>DUPLA</t>
  </si>
  <si>
    <t>Poço de Visita - Coletor de Ø100</t>
  </si>
  <si>
    <t>2.7</t>
  </si>
  <si>
    <t>2.8</t>
  </si>
  <si>
    <t>txkm</t>
  </si>
  <si>
    <t>3.3.3</t>
  </si>
  <si>
    <t>CREA 120.263.916-0</t>
  </si>
  <si>
    <t>PERIMETRO URBANO</t>
  </si>
  <si>
    <t>6.0</t>
  </si>
  <si>
    <t>QUANT.</t>
  </si>
  <si>
    <t>3.3.4</t>
  </si>
  <si>
    <t>3.3.5</t>
  </si>
  <si>
    <t>4.4.2</t>
  </si>
  <si>
    <t>POÇO DE VISITA (Ø120)</t>
  </si>
  <si>
    <t>POÇO DE VISITA DUPLO</t>
  </si>
  <si>
    <t>2.9</t>
  </si>
  <si>
    <t>2.10</t>
  </si>
  <si>
    <t>4.10</t>
  </si>
  <si>
    <t>PREFEITURA MUNICIPAL DE MIRASSOL D' OESTE</t>
  </si>
  <si>
    <t xml:space="preserve">VALOR TOTAL </t>
  </si>
  <si>
    <t>DIAS</t>
  </si>
  <si>
    <t>DO ITEM - R$</t>
  </si>
  <si>
    <t>Repasse</t>
  </si>
  <si>
    <t>TOTAL GERAL</t>
  </si>
  <si>
    <t>R$</t>
  </si>
  <si>
    <t xml:space="preserve"> MENSAL</t>
  </si>
  <si>
    <t>Mês</t>
  </si>
  <si>
    <t xml:space="preserve"> ACUMULADO</t>
  </si>
  <si>
    <t>Acumulado</t>
  </si>
  <si>
    <t>60 DIAS</t>
  </si>
  <si>
    <t>120 DIAS</t>
  </si>
  <si>
    <t>DESCRIÇÃO</t>
  </si>
  <si>
    <t>UNIDADE</t>
  </si>
  <si>
    <t>CALCULO</t>
  </si>
  <si>
    <t>30 DIAS</t>
  </si>
  <si>
    <t>90 DIAS</t>
  </si>
  <si>
    <t>150 DIAS</t>
  </si>
  <si>
    <t>* ISS 5% sobre 40% de mão-de-obra</t>
  </si>
  <si>
    <t>180 DIAS</t>
  </si>
  <si>
    <t>IMPERIO</t>
  </si>
  <si>
    <t>4.4.4</t>
  </si>
  <si>
    <t>4.4.5</t>
  </si>
  <si>
    <t>Lados</t>
  </si>
  <si>
    <t>Reaproveitamento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</si>
  <si>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</si>
  <si>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</si>
  <si>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</si>
  <si>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</si>
  <si>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</si>
  <si>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</si>
  <si>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</si>
  <si>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</si>
  <si>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</si>
  <si>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</si>
  <si>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DIVERSAS RUAS - PERIMETRO URBANO</t>
  </si>
  <si>
    <t>COMPOSIÇÃO DE CUSTOS</t>
  </si>
  <si>
    <t>REFERENCIA:</t>
  </si>
  <si>
    <t>SINAPI - 72958</t>
  </si>
  <si>
    <t>PEDRA BRITADA N. 2 (19 A 38 MM) - SEM FRETE</t>
  </si>
  <si>
    <t>PEDRA BRITADA N. 0, OU PEDRISCO (4,8 A 9,5 MM) SEM FRETE</t>
  </si>
  <si>
    <t>SINAPI - 73760/001</t>
  </si>
  <si>
    <t>SERVENTE COM ENCARGOS COMPLEMENTARES</t>
  </si>
  <si>
    <t>ESCORAMENTO DE VALAS DESCONTINUO</t>
  </si>
  <si>
    <t>Ø 150cm</t>
  </si>
  <si>
    <t>PLANILHA CÁLCULO DE DRENAGEM - ESCAVAÇÃO E REATERRO</t>
  </si>
  <si>
    <t>RELAÇÃO DE RUAS BENEFICIADAS - DRENAGEM</t>
  </si>
  <si>
    <t>QUADRO DEMONSTRATIVO DE MATERIAL PÉTREO ( PAVIMENTADA)</t>
  </si>
  <si>
    <t>Volume Total (t)</t>
  </si>
  <si>
    <t>DMT  (Pav.)   (km)</t>
  </si>
  <si>
    <t>Momento Transporte (txkm)</t>
  </si>
  <si>
    <t>QUADRO DEMONSTRATIVO DE MATERIAL DE BETUMINOSO ( PAVIMENTADA)</t>
  </si>
  <si>
    <t>Volume de CM-30 (t)</t>
  </si>
  <si>
    <t>CUBAÇÃO PAVIMENTAÇÃO</t>
  </si>
  <si>
    <t>VOLUME PARCIAL</t>
  </si>
  <si>
    <t>VOLUME ACUMULADO</t>
  </si>
  <si>
    <t>RUA / AVENIDA</t>
  </si>
  <si>
    <t>VOLUME DE ATERRO          (m³)</t>
  </si>
  <si>
    <t>VOLUME DE CORTE                (m³)</t>
  </si>
  <si>
    <t>TOTAL DE VOLUMES</t>
  </si>
  <si>
    <t>COMPENSAÇÃO</t>
  </si>
  <si>
    <t>CORTE</t>
  </si>
  <si>
    <t>ATERRO</t>
  </si>
  <si>
    <t>MATERIAL DE BOTA FORA</t>
  </si>
  <si>
    <t>QUADRO DEMONSTRATIVO MATERIAL DE BASE E SUB-BASE</t>
  </si>
  <si>
    <t>Altura de Sub-Base (m)</t>
  </si>
  <si>
    <t>Altura de Base (m)</t>
  </si>
  <si>
    <t>Volume de escavação MF (m³)</t>
  </si>
  <si>
    <t>Volume de Sub-Base (m³)</t>
  </si>
  <si>
    <t>Volume de Base (m³)</t>
  </si>
  <si>
    <t>Volume Total (m³)</t>
  </si>
  <si>
    <t>Ext. MF (m)</t>
  </si>
  <si>
    <t>Prof. (m)</t>
  </si>
  <si>
    <t>Largura (m)</t>
  </si>
  <si>
    <t>Volume (m³)</t>
  </si>
  <si>
    <t>COMPOSIÇÃO DE CUSTOS UNITÁRIOS</t>
  </si>
  <si>
    <t>Brita 0 ou Pedrisco (kg/m²)</t>
  </si>
  <si>
    <t>Volume de Brita 0 (t)</t>
  </si>
  <si>
    <t>CM-30 (Kg/m²)</t>
  </si>
  <si>
    <t>Composição do BDI conforme Acórdão 2622/2013 do TCU</t>
  </si>
  <si>
    <t>Ver Planilha de Base e SubBase</t>
  </si>
  <si>
    <t>RECURSO</t>
  </si>
  <si>
    <t>TERRAPLENAGEM</t>
  </si>
  <si>
    <t>QUADRO QUANTITATIVO DE CALÇADA</t>
  </si>
  <si>
    <t>SERVIÇO:</t>
  </si>
  <si>
    <t>POCO VISITA DUPLO 1,90X2,8X1,50 M COLETOR D=1,2M PAREDE E=20CM BASE CONC FCK=15MPA</t>
  </si>
  <si>
    <t>SINFRA SETEMBRO 2012</t>
  </si>
  <si>
    <t>73990/001</t>
  </si>
  <si>
    <t>ARMACAO ACO CA-50 P/1,0M3 DE CONCRETO</t>
  </si>
  <si>
    <t xml:space="preserve">Total de mão de obra                                                        </t>
  </si>
  <si>
    <t>BARRA LISA TRACO 1:3 (CIMENTO E AREIA MEDIA NAO PENEIRADA), INCLUSO ADITIVO IMPERMEABILIZANTE, ESPESSURA 0,5CM, PREPARO MANUAL DA ARGAMASSA</t>
  </si>
  <si>
    <t>COMPOSIÇÃO</t>
  </si>
  <si>
    <t>MESTRE DE OBRAS COM ENCARGOS COMPLEMENTARES</t>
  </si>
  <si>
    <t>FORMA PARA ESTRUTURAS DE CONCRETO (PILAR, VIGA E LAJE) EM CHAPA DE MADEIRA COMPENSADA PLASTIFICADA, DE 1,10 X 2,20, ESPESSURA = 12 MM, 05 UTILIZACOES. (FABRICACAO, MONTAGEM E DESMONTAGEM - EXCLUSIVE ESCORAMENTO)</t>
  </si>
  <si>
    <t>CONCRETO FCK=15MPA (1:2,5:3) , INCLUIDO PREPARO MECANICO, LANCAMENTO E ADENSAMENTO.</t>
  </si>
  <si>
    <t>ALVENARIA EMBASAMENTO TIJOLO CERAMICO FURADO 10X20X20 CM</t>
  </si>
  <si>
    <t xml:space="preserve">CHAPISCO APLICADO TANTO EM PILARES E VIGAS DE CONCRETO COMO EM ALVENARIA DE FACHADA COM PRESENÇA DE VÃOS, COM ROLO PARA TEXTURA ACRÍLICA. ARGAMASSA TRAÇO 1:4 E EMULSÃO POLIMÉRICA (ADESIVO) COM PREPARO EM MISTURADOR 300 KG. </t>
  </si>
  <si>
    <t>Cód. SINAPI</t>
  </si>
  <si>
    <t>QUADRO QUANTITATIVO DE PISO TATIL</t>
  </si>
  <si>
    <t>Quant Parcial (und)</t>
  </si>
  <si>
    <t>Cruzamentos / Rampas PNE</t>
  </si>
  <si>
    <t>MATERIAIS</t>
  </si>
  <si>
    <t>MAO DE OBRA</t>
  </si>
  <si>
    <t>TOTAL DO ITEM &gt;&gt;&gt;</t>
  </si>
  <si>
    <t>ENGENHEIRO CIVIL DE OBRA PLENO COM ENCARGOS COMPLEMENTARES</t>
  </si>
  <si>
    <t>CHEFE DE ESCRITORIO - AUXILIAR DE ESCRITORIO COM ENCARGOS COMPLEMENTARES</t>
  </si>
  <si>
    <t>DATA:</t>
  </si>
  <si>
    <t>VOLUME DE ATERRO                          (m³)</t>
  </si>
  <si>
    <t>VOLUME DE CORTE                         (m³)</t>
  </si>
  <si>
    <t>COMPOSIÇÃO DE CUSTO UNITÁRIO - POÇO DE VISITA</t>
  </si>
  <si>
    <t>MÃO DE OBRA</t>
  </si>
  <si>
    <t>LIMPA RODAS</t>
  </si>
  <si>
    <t>Extensão (m)</t>
  </si>
  <si>
    <t>TRIBUTOS (ISS 2%*; PIS 0,65; COFINS 3%, CPRB 4,5% )</t>
  </si>
  <si>
    <t>Area Parcial (m²)</t>
  </si>
  <si>
    <t>Area Total (m²)</t>
  </si>
  <si>
    <t>TRECHO 01</t>
  </si>
  <si>
    <t>CP</t>
  </si>
  <si>
    <t>CONV</t>
  </si>
  <si>
    <t>OBRAS COMPLEMENTARES</t>
  </si>
  <si>
    <t>Ext. (m)</t>
  </si>
  <si>
    <t>Ext. Parcial (m)</t>
  </si>
  <si>
    <t>Ext. Total (m)</t>
  </si>
  <si>
    <t>VALOR PARCIAL              COM BDI</t>
  </si>
  <si>
    <t>SINAPI</t>
  </si>
  <si>
    <t>SICRO</t>
  </si>
  <si>
    <t>ÁREA (m²):</t>
  </si>
  <si>
    <t>Largura           (m)</t>
  </si>
  <si>
    <t>Área                (m²)</t>
  </si>
  <si>
    <t>INVESTIMENTO</t>
  </si>
  <si>
    <t>UNIÃO</t>
  </si>
  <si>
    <t>CONTRA P.</t>
  </si>
  <si>
    <t>OUTROS</t>
  </si>
  <si>
    <t>Espessura  (m²)</t>
  </si>
  <si>
    <t xml:space="preserve">Total Geral </t>
  </si>
  <si>
    <t>Totais Parciais</t>
  </si>
  <si>
    <t>Largura     (m)</t>
  </si>
  <si>
    <t>Extensão</t>
  </si>
  <si>
    <t>Quant / m  (und)</t>
  </si>
  <si>
    <t>Extensão MF           (m)</t>
  </si>
  <si>
    <t>Quant. Parcial  (und)</t>
  </si>
  <si>
    <t>Quant. De Faixas</t>
  </si>
  <si>
    <t>Quant. Rampa / Faixa (und)</t>
  </si>
  <si>
    <t>Quant Piso / Rampa (und)</t>
  </si>
  <si>
    <t>Quant. Rampa   (und)</t>
  </si>
  <si>
    <t>Area por Piso     (m²)</t>
  </si>
  <si>
    <t>Area     Total        (m²)</t>
  </si>
  <si>
    <t>Quant.     Total        (und)</t>
  </si>
  <si>
    <t>EXECUÇÃO DE DEPÓSITO EM CANTEIRO DE OBRA EM CHAPA DE MADEIRA COMPENSADA, NÃO INCLUSO MOBILIÁRIO. AF_04/2016</t>
  </si>
  <si>
    <t>EXECUÇÃO DE SANITÁRIO E VESTIÁRIO EM CANTEIRO DE OBRA EM CHAPA DE MADEIRA COMPENSADA, NÃO INCLUSO MOBILIÁRIO. AF_02/2016</t>
  </si>
  <si>
    <t>GUIA (MEIO-FIO) E SARJETA CONJUGADOS DE CONCRETO, MOLDADA IN LOCO EM TRECHO RETO COM EXTRUSORA, GUIA 13 CM BASE X 22 CM ALTURA, SARJETA 30CM BASE X 8,5 CM ALTURA. AF_06/2016</t>
  </si>
  <si>
    <t>PREPARO DE FUNDO DE VALA COM LARGURA MENOR QUE 1,5 M, EM LOCAL COM NÍVEL ALTO DE INTERFERÊNCIA. AF_06/2016</t>
  </si>
  <si>
    <t>Ver Planilha de Calçada                        (Area de Calçada)</t>
  </si>
  <si>
    <t>EXECUÇÃO DE PASSEIO (CALÇADA) OU PISO DE CONCRETO COM CONCRETO MOLDADO IN LOCO, FEITO EM OBRA, ACABAMENTO CONVENCIONAL, NÃO ARMADO. AF_07/2016</t>
  </si>
  <si>
    <t>TRANSPORTE DE MATERIAL ASFALTICO, COM CAMINHÃO COM CAPACIDADE DE 30000L EM RODOVIA PAVIMENTADA PARA DISTÂNCIAS MÉDIAS DE TRANSPORTE SUPERIORES A 100 KM. AF_02/2016 - 315 KM - CUIABA À SÃO JOSE DOS QUATRO MARCOS</t>
  </si>
  <si>
    <t>Área Total              (m²)</t>
  </si>
  <si>
    <t>LASTRO DE AREIA MEDIA</t>
  </si>
  <si>
    <t>REATERRO MECANIZADO DE VALA COM RETROESCAVADEIRA (CAPACIDADE DA CAÇAMBA DA RETRO: 0,26 M³ / POTÊNCIA: 88 HP), LARGURA DE 0,8 A 1,5 M, PROFUNDIDADE ATÉ 1,5 M, COM SOLO (SEM SUBSTITUIÇÃO) DE 1ª CATEGORIA EM LOCAIS COM BAIXO NÍVEL DE INTERFERÊNCIA. AF_04/2016</t>
  </si>
  <si>
    <t>REATERRO MECANIZADO DE VALA COM RETROESCAVADEIRA (CAPACIDADE DA CAÇAMBA DA RETRO: 0,26 M³ / POTÊNCIA: 88 HP), LARGURA DE 0,8 A 1,5 M, PROFUNDIDADE DE 1,5 A 3,0 M, COM SOLO (SEM SUBSTITUIÇÃO) DE 1ª CATEGORIA EM LOCAIS COM BAIXO NÍVEL DE INTERFERÊNCIA. AF_04/2016</t>
  </si>
  <si>
    <t>TUBO DE CONCRETO PARA REDES COLETORAS DE ÁGUAS PLUVIAIS, DIÂMETRO DE 400 MM, JUNTA RÍGIDA, INSTALADO EM LOCAL COM BAIXO NÍVEL DE INTERFERÊNCIAS - FORNECIMENTO E ASSENTAMENTO. AF_12/2015</t>
  </si>
  <si>
    <t>TUBO DE CONCRETO PARA REDES COLETORAS DE ÁGUAS PLUVIAIS, DIÂMETRO DE 800 MM, JUNTA RÍGIDA, INSTALADO EM LOCAL COM BAIXO NÍVEL DE INTERFERÊNCIAS - FORNECIMENTO E ASSENTAMENTO. AF_12/2015</t>
  </si>
  <si>
    <t>TUBO DE CONCRETO PARA REDES COLETORAS DE ÁGUAS PLUVIAIS, DIÂMETRO DE 1000 MM, JUNTA RÍGIDA, INSTALADO EM LOCAL COM BAIXO NÍVEL DE INTERFERÊNCIAS - FORNECIMENTO E ASSENTAMENTO. AF_12/2015</t>
  </si>
  <si>
    <t>1.6</t>
  </si>
  <si>
    <t>1.7</t>
  </si>
  <si>
    <t>1.8</t>
  </si>
  <si>
    <t>1.9</t>
  </si>
  <si>
    <t>1.10</t>
  </si>
  <si>
    <t>1.11</t>
  </si>
  <si>
    <t>1.12</t>
  </si>
  <si>
    <t>2.11</t>
  </si>
  <si>
    <t>2.12</t>
  </si>
  <si>
    <t>4.11</t>
  </si>
  <si>
    <t>4.12</t>
  </si>
  <si>
    <t>DISPOSITIVO</t>
  </si>
  <si>
    <t>(A) Área da Seção</t>
  </si>
  <si>
    <t>(V1) Volume do Dispositivo</t>
  </si>
  <si>
    <t>(V2)    Volume de Escavação</t>
  </si>
  <si>
    <t>Reaterro=V2-V1               ( m³ )</t>
  </si>
  <si>
    <t xml:space="preserve">B                 largura </t>
  </si>
  <si>
    <t xml:space="preserve">H                  altura </t>
  </si>
  <si>
    <t>L              comprim.</t>
  </si>
  <si>
    <t>5.11</t>
  </si>
  <si>
    <t>5.12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</si>
  <si>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</si>
  <si>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</si>
  <si>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</si>
  <si>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</si>
  <si>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</si>
  <si>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</si>
  <si>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</si>
  <si>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</si>
  <si>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</si>
  <si>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</si>
  <si>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</si>
  <si>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</si>
  <si>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7.0</t>
  </si>
  <si>
    <t>REAPROVEITAMENTO</t>
  </si>
  <si>
    <t>item</t>
  </si>
  <si>
    <t>chamine</t>
  </si>
  <si>
    <t>ESCAVACAO DE VALA NAO ESCORADA EM MATERIAL DE 1A CATEGORIA COM PROFUNDIDADE DE 1,5 ATE 3M</t>
  </si>
  <si>
    <t xml:space="preserve">ESCAVACAO DE VALA NAO ESCORADA EM MATERIAL 1A CATEGORIA, PROFUNDIDADE ATE 1,5 M </t>
  </si>
  <si>
    <t>REATERRO MECANIZADO DE VALA PROFUNDIDADE DE 1,5 A 3,0 M</t>
  </si>
  <si>
    <t>REATERRO MECANIZADO DE VALA  PROFUNDIDADE ATÉ 1,5 M</t>
  </si>
  <si>
    <t>ESCAVAÇÃO MECANIZADA DE VALA COM PROF. ATÉ 1,5 M(MÉDIA ENTRE MONTANTE E JUSANTE/UMA COMPOSIÇÃO POR TRECHO), COM ESCAVADEIRA HIDRÁULICA (0,8M3/111 HP), LARG. DE 1,5M A 2,5 M, EM SOLO DE 1A CATEGORIA, LOCAIS COM BAIXO NÍVEL DE INTERFERÊNCIA. AF_01/2015</t>
  </si>
  <si>
    <t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t>
  </si>
  <si>
    <t>LASTRO DE VALA COM PREPARO DE FUNDO, LARGURA MENOR QUE 1,5 M, COM CAMADA DE AREIA, LANÇAMENTO MANUAL, EM LOCAL COM NÍVEL BAIXO DE INTERFERÊNCIA. AF_06/2016</t>
  </si>
  <si>
    <t>BOCA DE LOBO EM ALVENARIA TIJOLO MACICO, REVESTIDA C/ ARGAMASSA DE CIMENTO E AREIA 1:3, SOBRE LASTRO DE CONCRETO 10CM E TAMPA DE CONCRETO ARMADO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</si>
  <si>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</si>
  <si>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</si>
  <si>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</si>
  <si>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</si>
  <si>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</si>
  <si>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</si>
  <si>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</si>
  <si>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</si>
  <si>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</si>
  <si>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</si>
  <si>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</si>
  <si>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</si>
  <si>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4.3.1</t>
  </si>
  <si>
    <t>4.3.2</t>
  </si>
  <si>
    <t>4.3.3</t>
  </si>
  <si>
    <t>4.4.1</t>
  </si>
  <si>
    <t>4.4.3</t>
  </si>
  <si>
    <t>ESCORAMENTO DE VALA, TIPO DESCONTÍNUO, COM PROFUNDIDADE DE 0 A 1,5 M,LARGURA MAIOR OU IGUAL A 1,5 M E MENOR QUE 2,5 M, EM LOCAL COM NÍVEL BAIXO DE INTERFERÊNCIA. AF_06/2016</t>
  </si>
  <si>
    <t>1.13</t>
  </si>
  <si>
    <t>Poço de Visita - Coletor de Ø120</t>
  </si>
  <si>
    <t>2.13</t>
  </si>
  <si>
    <t>6.13</t>
  </si>
  <si>
    <t>5.13</t>
  </si>
  <si>
    <t>4.13</t>
  </si>
  <si>
    <t>CONVERSÃO M³/T</t>
  </si>
  <si>
    <t>DMT DE BOTA FORA (Km)</t>
  </si>
  <si>
    <t>SEGURO E  GARANTIA</t>
  </si>
  <si>
    <t>Coordenada Inicial</t>
  </si>
  <si>
    <t>Latitude</t>
  </si>
  <si>
    <t>Longitude</t>
  </si>
  <si>
    <t>Coordenada Final</t>
  </si>
  <si>
    <t>Logradouros</t>
  </si>
  <si>
    <t xml:space="preserve">Inicial </t>
  </si>
  <si>
    <t>Final</t>
  </si>
  <si>
    <t>QUADRO DE COORDENADAS</t>
  </si>
  <si>
    <t>AREA</t>
  </si>
  <si>
    <t>ALTURA DE CORTE</t>
  </si>
  <si>
    <t>ADMINISTRAÇÃO LOCAL DA OBRA</t>
  </si>
  <si>
    <t>Cod. Ref.</t>
  </si>
  <si>
    <t>Descrição</t>
  </si>
  <si>
    <t>TOTAL DA COMPOSIÇÃO</t>
  </si>
  <si>
    <t>Ver Planilha de Cubação                    Material de Corte</t>
  </si>
  <si>
    <t>Ver Planilha de Cubação                 Transporte de Bota Fora</t>
  </si>
  <si>
    <r>
      <t xml:space="preserve">POCO DE VISITA EM ALVENARIA, PARA REDE </t>
    </r>
    <r>
      <rPr>
        <b/>
        <sz val="11"/>
        <color theme="1"/>
        <rFont val="Times New Roman"/>
        <family val="1"/>
      </rPr>
      <t>D=0,80 M</t>
    </r>
    <r>
      <rPr>
        <sz val="11"/>
        <color theme="1"/>
        <rFont val="Times New Roman"/>
        <family val="1"/>
      </rPr>
      <t>, PARTE FIXA C/ 1,00 M DE ALTURA</t>
    </r>
  </si>
  <si>
    <r>
      <t xml:space="preserve">POCO DE VISITA EM ALVENARIA, PARA REDE </t>
    </r>
    <r>
      <rPr>
        <b/>
        <sz val="11"/>
        <color theme="1"/>
        <rFont val="Times New Roman"/>
        <family val="1"/>
      </rPr>
      <t>D=1,00 M</t>
    </r>
    <r>
      <rPr>
        <sz val="11"/>
        <color theme="1"/>
        <rFont val="Times New Roman"/>
        <family val="1"/>
      </rPr>
      <t>, PARTE FIXA C/ 1,00 M DE ALTURA</t>
    </r>
  </si>
  <si>
    <t>CHAMINE P/ POCO DE VISITA EM ALVENARIA, EXCLUSOS TAMPAO E ANEL</t>
  </si>
  <si>
    <t>TAMPAO FOFO ARTICULADO, CLASSE B125 CARGA MAX 12,5 T, REDONDO TAMPA 600 MM, REDE PLUVIAL/ESGOTO, P = CHAMINE CX AREIA / POCO VISITA ASSENTADO COM ARG CIM/AREIA 1:4, FORNECIMENTO E ASSENTAMENTO</t>
  </si>
  <si>
    <t>DISSIPADOR DE ENERGIA EM PEDRA ARGAMASSADA ESPESSURA 6CM INCL MATERIAIS E COLOCACAO MEDIDO P/ VOLUME DE PEDRA ARGAMASSADA</t>
  </si>
  <si>
    <t>TRANSPORTE COM CAMINHÃO BASCULANTE 6 M3 EM RODOVIA COM REVESTIMENTO PRIMÁRIO - BOTA FORA(2,0KM)</t>
  </si>
  <si>
    <t>M2</t>
  </si>
  <si>
    <t>M3</t>
  </si>
  <si>
    <t>M</t>
  </si>
  <si>
    <t>M3xKM</t>
  </si>
  <si>
    <t>74151/001</t>
  </si>
  <si>
    <t>ESCAVACAO E CARGA MATERIAL 1A CATEGORIA, UTILIZANDO TRATOR DE ESTEIRAS DE 110 A 160HP COM LAMINA, PESO OPERACIONAL * 13T E PA CARREGADEIRA COM 170 HP.</t>
  </si>
  <si>
    <t>TRANSPORTE COM CAMINHÃO BASCULANTE 6 M3 EM RODOVIA COM REVESTIMENTO PRIMÁRIO - JAZIDA 9,5KM</t>
  </si>
  <si>
    <t>TRANSPORTE COMERCIAL DE BRITA  45 KM - BRITA IMPERIO À SÃO JOSE DOS QUATRO MARCOS</t>
  </si>
  <si>
    <t>SINALIZACAO HORIZONTAL COM TINTA RETRORREFLETIVA A BASE DE RESINA ACRILICA COM MICROESFERAS DE VIDRO</t>
  </si>
  <si>
    <t>73916/002</t>
  </si>
  <si>
    <t>PLACA ESMALTADA PARA IDENTIFICAÇÃO NR DE RUA, DIMENSÕES 45X25CM</t>
  </si>
  <si>
    <t>REFERÊNCIA: ORSE / 10808</t>
  </si>
  <si>
    <t>SARRAFO DE MADEIRA NAO APARELHADA *2,5 X 7* CM, MACARANDUBA, ANGELIM OU EQUIVALENTE DA REGIAO</t>
  </si>
  <si>
    <t>PECA DE MADEIRA NAO APARELHADA *7,5 X 7,5* CM (3 X 3 ") MACARANDUBA, ANGELIM OU EQUIVALENTE DA REGIAO</t>
  </si>
  <si>
    <t>TINTA ESMALTE SINTETICO PREMIUM FOSCO</t>
  </si>
  <si>
    <t>L</t>
  </si>
  <si>
    <t>CARPINTEIRO DE FORMAS COM ENCARGOS COMPLEMENTARES</t>
  </si>
  <si>
    <t>PINTOR COM ENCARGOS COMPLEMENTARES</t>
  </si>
  <si>
    <t>TOTAL DA COMPOSIÇÃO&gt;&gt;&gt;</t>
  </si>
  <si>
    <t>CONFECÇÃO DE SUPORTE E TRAVESSA PARA PLACA DE SINALIZAÇÃO</t>
  </si>
  <si>
    <t>GUIA (MEIO-FIO) CONCRETO, MOLDADA IN LOCO EM TRECHO RETO COM EXTRUSORA, 14 CM BASE X 30 CM ALTURA. AF_06/2016</t>
  </si>
  <si>
    <t>Extensão total do meio fio Sem sarjeta</t>
  </si>
  <si>
    <t>Extensão total do meio fio Com sarjeta</t>
  </si>
  <si>
    <t>Extensão Total (m)</t>
  </si>
  <si>
    <t>4.3.4</t>
  </si>
  <si>
    <t>REFERÊNCIA: SINAPI / 73916/002</t>
  </si>
  <si>
    <t>BUCHA DE NYLON SEM ABA S6, COM PARAFUSO DE 4,20 X 40 MM EM ACO ZINCADO COM ROSCA SOBERBA, CABECA CHATA E FENDA PHILLIPS</t>
  </si>
  <si>
    <t>UN</t>
  </si>
  <si>
    <t>PLACA DE SINALIZACAO EM CHAPA DE ACO NUM 16 COM PINTURA REFLETIVA</t>
  </si>
  <si>
    <t>PLACA DE SINALIZACAO EM CHAPA DE ACO NUM 16 COM PINTURA REFLETIVA - FORNECIMENTO E INSTALAÇÃO</t>
  </si>
  <si>
    <t>PLACAS DE SINALIZAÇÃO VERTICAL - REGULAMENTAIS</t>
  </si>
  <si>
    <t>PLACAS DE SINALIZAÇÃO VERTICAL - IDENTIFICAÇÃO DE RUAS</t>
  </si>
  <si>
    <t>SUPORTE PARA PLACA DE SINALIZAÇÃO VERTICAL</t>
  </si>
  <si>
    <t>SINALIZAÇÃO HORIZONTAL - PINTURA ACRILICA</t>
  </si>
  <si>
    <t>2 x 0,45x0,25m</t>
  </si>
  <si>
    <t>COMPOSIÇÃO 01</t>
  </si>
  <si>
    <t>COMPOSIÇÃO 04</t>
  </si>
  <si>
    <t>COMPOSIÇÃO 06</t>
  </si>
  <si>
    <t>ADMINISTRAÇÃO DE CANTEIRO DE OBRA</t>
  </si>
  <si>
    <t>3.1.2</t>
  </si>
  <si>
    <t>3.1.3</t>
  </si>
  <si>
    <t>3.1.4</t>
  </si>
  <si>
    <t>3.1.5</t>
  </si>
  <si>
    <t>3.1.6</t>
  </si>
  <si>
    <t>SINAPI - JANEIRO 2018 (DESONERADO)</t>
  </si>
  <si>
    <t>,</t>
  </si>
  <si>
    <t>74021/006</t>
  </si>
  <si>
    <r>
      <t xml:space="preserve">EXECUÇÃO E COMPACTAÇÃO DE BASE E OU SUB BASE COM SOLO ESTABILIZADO GRANULOMETRICAMENTE - EXCLUSIVE ESCAVAÇÃO, CARGA E TRANSPORTE E SOLO. AF_09/2017 </t>
    </r>
    <r>
      <rPr>
        <b/>
        <sz val="11"/>
        <rFont val="Times New Roman"/>
        <family val="1"/>
      </rPr>
      <t>-(SUB-BASE)</t>
    </r>
  </si>
  <si>
    <r>
      <t>EXECUÇÃO E COMPACTAÇÃO DE BASE E OU SUB BASE COM SOLO ESTABILIZADO GRANULOMETRICAMENTE - EXCLUSIVE ESCAVAÇÃO, CARGA E TRANSPORTE E SOLO. AF_09/2017</t>
    </r>
    <r>
      <rPr>
        <b/>
        <sz val="11"/>
        <rFont val="Times New Roman"/>
        <family val="1"/>
      </rPr>
      <t>-(BASE)</t>
    </r>
  </si>
  <si>
    <t>4.2.11</t>
  </si>
  <si>
    <t>4.2.12</t>
  </si>
  <si>
    <t>4.2.13</t>
  </si>
  <si>
    <t>3.3.6</t>
  </si>
  <si>
    <t>30</t>
  </si>
  <si>
    <t xml:space="preserve">PREFEITURA MUNICIPAL DE BARRA DO BUGRES </t>
  </si>
  <si>
    <t>ENGº CIVIL</t>
  </si>
  <si>
    <t>CHAMINÉ CIRCULAR PARA POÇO DE VISITA PARA ESGOTO, EM ALVENARIA COM TIJOLOS CERÂMICOS MACIÇOS, DIÂMETRO INTERNO = 0,6 M. AF_05/2018</t>
  </si>
  <si>
    <r>
      <t xml:space="preserve">EXECUÇÃO E COMPACTAÇÃO DE </t>
    </r>
    <r>
      <rPr>
        <b/>
        <sz val="11"/>
        <rFont val="Times New Roman"/>
        <family val="1"/>
      </rPr>
      <t>SUB BASE</t>
    </r>
    <r>
      <rPr>
        <sz val="11"/>
        <rFont val="Times New Roman"/>
        <family val="1"/>
      </rPr>
      <t xml:space="preserve"> COM SOLO ESTABILIZADO GRA NULOMETRICAMENTE - EXCLUSIVE ESCAVAÇÃO, CARGA E TRANSPORTE E SOLO. AF_09/2017</t>
    </r>
  </si>
  <si>
    <r>
      <t xml:space="preserve">EXECUÇÃO E COMPACTAÇÃO DE </t>
    </r>
    <r>
      <rPr>
        <b/>
        <sz val="11"/>
        <rFont val="Times New Roman"/>
        <family val="1"/>
      </rPr>
      <t>BASE</t>
    </r>
    <r>
      <rPr>
        <sz val="11"/>
        <rFont val="Times New Roman"/>
        <family val="1"/>
      </rPr>
      <t xml:space="preserve"> COM SOLO ESTABILIZADO GRA NULOMETRICAMENTE - EXCLUSIVE ESCAVAÇÃO, CARGA E TRANSPORTE E SOLO. AF_09/2017</t>
    </r>
  </si>
  <si>
    <t>M3XKM</t>
  </si>
  <si>
    <t>GUIA (MEIO-FIO) E SARJETA CONJUGADOS DE CONCRETO, MOLDADA IN LOCO EM TRECHO RETO COM EXTRUSORA, 45 CM BASE (15 CM BASE DA GUIA + 30 CM BASE DA SARJETA) X 22 CM ALTURA. AF_06/2016</t>
  </si>
  <si>
    <t>GUIA (MEIO-FIO) E SARJETA CONJUGADOS DE CONCRETO, MOLDADA IN LOCO EM TRECHO CURVO COM EXTRUSORA, 45 CM BASE (15 CM BASE DA GUIA + 30 CM BASE DA SARJETA) X 22 CM ALTURA. AF_06/2016</t>
  </si>
  <si>
    <t>TOPOGRAFO COM ENCARGOS COMPLEMENTARES</t>
  </si>
  <si>
    <t>QUADRO QUANTITATIVO DE MEIO-FIO COM SARJETA RETO</t>
  </si>
  <si>
    <t>QUADRO QUANTITATIVO DE MEIO-FIO COM SARJETA CURVO</t>
  </si>
  <si>
    <t>DMT (km) (N PAV)</t>
  </si>
  <si>
    <t>DMT (km) (PAV)</t>
  </si>
  <si>
    <t>M. Trans. (N Pav)</t>
  </si>
  <si>
    <t>MATERIAL DE BOTA FORA (m³xKm)</t>
  </si>
  <si>
    <t>PREÇO UNIT SEM BDI</t>
  </si>
  <si>
    <t>REC TOTAL</t>
  </si>
  <si>
    <t>REC GOV</t>
  </si>
  <si>
    <t>CONTRA</t>
  </si>
  <si>
    <t>M. Trans. (Pav)</t>
  </si>
  <si>
    <t>QUADRO DEMONSTRATIVO DE TERRAPLENAGEM</t>
  </si>
  <si>
    <t>3.2.4</t>
  </si>
  <si>
    <t>3.2.5</t>
  </si>
  <si>
    <t>3.2.6</t>
  </si>
  <si>
    <t>3.2.7</t>
  </si>
  <si>
    <t>3.2.8</t>
  </si>
  <si>
    <t>3.2.9</t>
  </si>
  <si>
    <t>3.2.10</t>
  </si>
  <si>
    <t>3.4.2</t>
  </si>
  <si>
    <t>3.4.3</t>
  </si>
  <si>
    <t>3.4.4</t>
  </si>
  <si>
    <t>800 DIAS</t>
  </si>
  <si>
    <t>CAMINHÃO PIPA 10.000 L TRUCADO, PESO BRUTO TOTAL 23.000 KG, CARGA ÚTIL MÁXIMA 15.935 KG, DISTÂNCIA ENTRE EIXOS 4,8 M, POTÊNCIA 230 CV, INCLUSIVE TANQUE DE AÇO PARA TRANSPORTE DE ÁGUA - CHP DIURNO. AF_06/2014</t>
  </si>
  <si>
    <t>CAMINHÃO PIPA 10.000 L TRUCADO, PESO BRUTO TOTAL 23.000 KG, CARGA ÚTIL MÁXIMA 15.935 KG, DISTÂNCIA ENTRE EIXOS 4,8 M, POTÊNCIA 230 CV, INCLUSIVE TANQUE DE AÇO PARA TRANSPORTE DE ÁGUA - CHI DIURNO. AF_06/2014</t>
  </si>
  <si>
    <t>MOTONIVELADORA POTÊNCIA BÁSICA LÍQUIDA (PRIMEIRA MARCHA) 125 HP, PESO BRUTO 13032 KG, LARGURA DA LÂMINA DE 3,7 M - CHP DIURNO. AF_06/2014</t>
  </si>
  <si>
    <t>MOTONIVELADORA POTÊNCIA BÁSICA LÍQUIDA (PRIMEIRA MARCHA) 125 HP, PESO BRUTO 13032 KG, LARGURA DA LÂMINA DE 3,7 M - CHI DIURNO. AF_06/2014</t>
  </si>
  <si>
    <t>ROLO COMPACTADOR PE DE CARNEIRO VIBRATORIO, POTENCIA 125 HP, PESO OPERACIONAL SEM/COM LASTRO 11,95 / 13,30 T, IMPACTO DINAMICO 38,5 / 22,5 T, LARGURA DE TRABALHO 2,15 M - CHP DIURNO. AF_06/2014</t>
  </si>
  <si>
    <t>TRATOR DE PNEUS COM POTÊNCIA DE 85 CV, TRAÇÃO 4X4, COM GRADE DE DISCOS ACOPLADA - CHP DIURNO. AF_02/2017</t>
  </si>
  <si>
    <t>TRATOR DE PNEUS COM POTÊNCIA DE 85 CV, TRAÇÃO 4X4, COM GRADE DE DISCOS ACOPLADA - CHI DIURNO. AF_02/2017</t>
  </si>
  <si>
    <t>0,0016109</t>
  </si>
  <si>
    <t>0,0010739</t>
  </si>
  <si>
    <t>0,0018525</t>
  </si>
  <si>
    <t>0,0008323</t>
  </si>
  <si>
    <t>0,0026849</t>
  </si>
  <si>
    <t>0,0107396</t>
  </si>
  <si>
    <t>0,0013424</t>
  </si>
  <si>
    <t>REFERENCIA: SINAPI - 72961</t>
  </si>
  <si>
    <t>M³</t>
  </si>
  <si>
    <t>LOTE 03</t>
  </si>
  <si>
    <t>TUBO DE CONCRETO PARA REDES COLETORAS DE ÁGUAS PLUVIAIS, DIÂMETRO DE 600 MM, JUNTA RÍGIDA, INSTALADO EM LOCAL COM BAIXO NÍVEL DE INTERFERÊNCIAS - FORNECIMENTO E ASSENTAMENTO. AF_12/2015</t>
  </si>
  <si>
    <t>POÇO DE VISITA - PVI 02 (600 mm)- AREIA E BRITA COMERCIAIS</t>
  </si>
  <si>
    <t>POÇO DE VISITA - PVI 03 (800 mm) - AREIA E BRITA COMERCIAIS</t>
  </si>
  <si>
    <t>BOCA DE LOBO DUPLA - GRELHA DE CONCRETO - BLDG 01 - AREIA E BRITA COMERCIAIS</t>
  </si>
  <si>
    <t xml:space="preserve">EXECUÇÃO E COMPACTAÇÃO DE BASE E OU SUB BASE COM SOLO ESTABILIZADO GRANULOMETRICAMENTE - EXCLUSIVE ESCAVAÇÃO, CARGA E TRANSPORTE E SOLO. AF_09/2017
</t>
  </si>
  <si>
    <t>0,0064000</t>
  </si>
  <si>
    <t>0,0095000</t>
  </si>
  <si>
    <t>GRADE DE DISCO REBOCÁVEL COM 20 DISCOS 24" X 6 MM COM PNEUS PARA TRANSPORTE - CHP DIURNO. AF_06/2014</t>
  </si>
  <si>
    <t>0,0027000</t>
  </si>
  <si>
    <t>GRADE DE DISCO REBOCÁVEL COM 20 DISCOS 24" X 6 MM COM PNEUS PARA TRANSPORTE - CHI DIURNO. AF_06/2014</t>
  </si>
  <si>
    <t>0,0133000</t>
  </si>
  <si>
    <t>0,0077000</t>
  </si>
  <si>
    <t>0,0083000</t>
  </si>
  <si>
    <t>ROLO COMPACTADOR VIBRATÓRIO PÉ DE CARNEIRO PARA SOLOS, POTÊNCIA 80 HP, PESO OPERACIONAL SEM/COM LASTRO 7,4 / 8,8 T, LARGURA DE TRABALHO 1,68 M - CHP DIURNO. AF_02/2016</t>
  </si>
  <si>
    <t>0,0074000</t>
  </si>
  <si>
    <t>0,0558000</t>
  </si>
  <si>
    <t>TRATOR DE PNEUS, POTÊNCIA 85 CV, TRAÇÃO 4X4, PESO COM LASTRO DE 4.675 KG - CHP DIURNO. AF_06/2014</t>
  </si>
  <si>
    <t>TRATOR DE PNEUS, POTÊNCIA 85 CV, TRAÇÃO 4X4, PESO COM LASTRO DE 4.675 KG - CHI DIURNO. AF_06/2014</t>
  </si>
  <si>
    <t>ROLO COMPACTADOR VIBRATÓRIO PÉ DE CARNEIRO PARA SOLOS, POTÊNCIA 80 HP, PESO OPERACIONAL SEM/COM LASTRO 7,4 / 8,8 T, LARGURA DE TRABALHO 1,68 M - CHI DIURNO. AF_02/2016</t>
  </si>
  <si>
    <t>0,0086000</t>
  </si>
  <si>
    <t>ROLO COMPACTADOR DE PNEUS, ESTATICO, PRESSAO VARIAVEL, POTENCIA 110 HP, PESO SEM/COM LASTRO 10,8/27 T, LARGURA DE ROLAGEM 2,30 M - CHP DIURNO. AF_06/2017</t>
  </si>
  <si>
    <t>0,0010000</t>
  </si>
  <si>
    <t>ROLO COMPACTADOR DE PNEUS, ESTATICO, PRESSAO VARIAVEL, POTENCIA 110 HP, PESO SEM/COM LASTRO 10,8/27 T, LARGURA DE ROLAGEM 2,30 M - CHI DIURNO. AF_06/2017</t>
  </si>
  <si>
    <t>0,0150000</t>
  </si>
  <si>
    <t>COMP 01</t>
  </si>
  <si>
    <t>Robson Darcio Sousa</t>
  </si>
  <si>
    <t>Crea: 120.263.916-0</t>
  </si>
  <si>
    <t>MOBILIZAÇÃO E DESMOBILIZAÇÃO DE EQUIPAMENTOS</t>
  </si>
  <si>
    <t>EQUIPAMENTO</t>
  </si>
  <si>
    <t>PESO      (T)</t>
  </si>
  <si>
    <t>ORIGEM</t>
  </si>
  <si>
    <t>DMT                           (IDA E VOLTA)          (KM)</t>
  </si>
  <si>
    <t>MOMENTO DE TRANSPORTE                    (TxKM)</t>
  </si>
  <si>
    <t>TRANSPORTE EM RODOVIA PAVIMENTADA</t>
  </si>
  <si>
    <t>MOTONIVELADORA</t>
  </si>
  <si>
    <t>CUIABA</t>
  </si>
  <si>
    <t>RETROESCAVADEIRA DE PNEU</t>
  </si>
  <si>
    <t>ROLO COMPACTADOR PE DE CARNEIRO</t>
  </si>
  <si>
    <t>ROLO COMPACTADOR LISO</t>
  </si>
  <si>
    <t>ROLO DE PNEU</t>
  </si>
  <si>
    <t>TRANSPORTE COMERCIAL COM CAMINHAO CARROCERIA 9 T, RODOVIA PAVIMENTADA</t>
  </si>
  <si>
    <t>TXKM</t>
  </si>
  <si>
    <t>CARREGADEIRA DE PNEU</t>
  </si>
  <si>
    <t>Ver Planilha de Base e SubBase* fator de empolamento (20,00%)</t>
  </si>
  <si>
    <t>AREIA (kg/m²)</t>
  </si>
  <si>
    <t>Volume de AREIA (t)</t>
  </si>
  <si>
    <t>M TRANSP AREIA</t>
  </si>
  <si>
    <t>M TRANSP BRITA</t>
  </si>
  <si>
    <t>EXECUÇÃO DE PAVIMENTO COM APLICAÇÃO DE CONCRETO ASFÁLTICO, CAMADA DE ROLAMENTO - EXCLUSIVE CARGA E TRANSPORTE. AF_11/2019</t>
  </si>
  <si>
    <t>EXECUÇÃO DE PINTURA DE LIGAÇÃO COM EMULSÃO ASFÁLTICA RR-2C. AF_11/2019</t>
  </si>
  <si>
    <t>TRANSPORTE COMERCIAL DE AREIA  2,0 KM</t>
  </si>
  <si>
    <t>2.1.1</t>
  </si>
  <si>
    <t>2.1.2</t>
  </si>
  <si>
    <t>2.1.3</t>
  </si>
  <si>
    <t>2.1.4</t>
  </si>
  <si>
    <t>2.1.5</t>
  </si>
  <si>
    <t>2.1.6</t>
  </si>
  <si>
    <t>2.2.1</t>
  </si>
  <si>
    <t>2.2.2</t>
  </si>
  <si>
    <t>2.2.3</t>
  </si>
  <si>
    <t>2.3.1</t>
  </si>
  <si>
    <t>2.3.2</t>
  </si>
  <si>
    <t>2.3.3</t>
  </si>
  <si>
    <t>2.3.4</t>
  </si>
  <si>
    <t>2.3.5</t>
  </si>
  <si>
    <t>2.3.6</t>
  </si>
  <si>
    <t>2.4.1</t>
  </si>
  <si>
    <t>TRANSPORTE COMERCIAL DE BRITA  76 KM - JAZIDA A BARRA DO BUGRES</t>
  </si>
  <si>
    <t>CAP 50/70 (Kg/m²)</t>
  </si>
  <si>
    <t>Volume CAP 50/70 (t)</t>
  </si>
  <si>
    <t>TRECHO 03</t>
  </si>
  <si>
    <t>TRANSPORTE DE MATERIAL ASFALTICO, COM CAMINHÃO COM CAPACIDADE DE 30000L EM RODOVIA PAVIMENTADA PARA DISTÂNCIAS MÉDIAS DE TRANSPORTE SUPERIORES A 100 KM. AF_02/2016 - CUIABA BARRA DO BUGRES</t>
  </si>
  <si>
    <t>PINTURA DE FAIXA - TINTA BASE ACRÍLICA - ESPESSURA DE 0,4 MM</t>
  </si>
  <si>
    <t>PAVIMENTAÇÃO EM CBUQ</t>
  </si>
  <si>
    <t>Brita 1  (kg/m²)</t>
  </si>
  <si>
    <t>Volume de Brita 1 (t)</t>
  </si>
  <si>
    <t>3.2.11</t>
  </si>
  <si>
    <t>TRANSPORTE COM CAMINHÃO BASCULANTE DE 10 M3, EM VIA URBANA PAVIMENTADA, DMT ACIMA DE 30 KM (UNIDADE: TXKM). AF_04/2016 (MASSA ASFALTICA)</t>
  </si>
  <si>
    <t>VOLUME MATERIAL X 2,4 T X 10 KM</t>
  </si>
  <si>
    <t>COMPOSIÇÃO 02</t>
  </si>
  <si>
    <t>COMPOSIÇÃO 03</t>
  </si>
  <si>
    <t>RUA DOS GIRASSÓIS</t>
  </si>
  <si>
    <t>RUAS DAS MARGARIDAS</t>
  </si>
  <si>
    <t>RUA FLAMBOYANT</t>
  </si>
  <si>
    <t>RUA DAS JARACATIÁS</t>
  </si>
  <si>
    <t>AV CONSTITUINTE</t>
  </si>
  <si>
    <t>RUA CAMPOS ELISIOS</t>
  </si>
  <si>
    <t>LR 01</t>
  </si>
  <si>
    <t>RUAS DAS CEREJEIRAS</t>
  </si>
  <si>
    <t>PLANILHA ORÇAMENTÁRIA - ADITIVO DE OBRA</t>
  </si>
  <si>
    <t>RUA SAMAMBAIAS</t>
  </si>
  <si>
    <t>LR05</t>
  </si>
  <si>
    <t>AGOSTO 2020</t>
  </si>
  <si>
    <t>COMPOSIÇÃO 05</t>
  </si>
  <si>
    <t>UM</t>
  </si>
  <si>
    <t>PLACA DE ACO ESMALTADA PARA IDENTIFICACAO DE RUA, *45 CM X 20* CM</t>
  </si>
  <si>
    <t>REFERÊNCIA: SINAPI / 74221/001</t>
  </si>
  <si>
    <t>FIO DE COBRE, SOLIDO, CLASSE 1, ISOLACAO EM PVC/A, ANTICHAMA BWF-B, 450/750V, SECAO NOMINAL 2,5 MM2</t>
  </si>
  <si>
    <t>ENERGIA ELETRICA ATE 2000 KWH INDUSTRIAL, SEM DEMANDA</t>
  </si>
  <si>
    <t>KW/H</t>
  </si>
  <si>
    <t>LAMPADA FLUORESCENTE TUBULAR T10, DE 20 OU 40 W, BIVOLT</t>
  </si>
  <si>
    <t>BALDE VERMELHO PARA SINALIZACAO DE VIAS</t>
  </si>
  <si>
    <t>SOQUETE DE PORCELANA BASE E27, PARA USO AO TEMPO, PARA LAMPADAS</t>
  </si>
  <si>
    <t>ELETRICISTA COM ENCARGOS COMPLEMENTARES</t>
  </si>
  <si>
    <t>COMPOSIÇÃO 07</t>
  </si>
  <si>
    <t>TAMPAO FOFO ARTICULADO, CLASSE B125 CARGA MAX 12,5 T, REDONDO TAMPA 600 MM, REDE PLUVIAL/ESGOTO, P = CHAMINE CX AREIA / POCO VISITA ASSENTADO COM AR
G CIM/AREIA 1:4, FORNECIMENTO E ASSENTAMENTO</t>
  </si>
  <si>
    <t>REFERÊNCIA: SINAPI / 83627</t>
  </si>
  <si>
    <t>TAMPAO FOFO ARTICULADO, CLASSE B125 CARGA MAX 12,5 T, REDONDO TAMPA 600 MM, REDE PLUVIAL/ESGOTO</t>
  </si>
  <si>
    <t>ARGAMASSA TRAÇO 1:4 (EM VOLUME DE CIMENTO E AREIA GROSSA ÚMIDA) PARA CHAPISCO CONVENCIONAL, PREPARO MECÂNICO COM BETONEIRA 400 L. AF_08/2019</t>
  </si>
  <si>
    <t>PEDREIRO COM ENCARGOS COMPLEMENTARES</t>
  </si>
  <si>
    <t>COMPOSIÇÃO 08</t>
  </si>
  <si>
    <t>REFERÊNCIA: SINAPI / 74209/001</t>
  </si>
  <si>
    <t>PONTALETE DE MADEIRA NAO APARELHADA *7,5 X 7,5* CM (3 X 3 ") PINUS, MISTA OU EQUIVALENTE DA REGIAO</t>
  </si>
  <si>
    <t>PLACA DE OBRA (PARA CONSTRUCAO CIVIL) EM CHAPA GALVANIZADA *N. 22*, ADESIVADA</t>
  </si>
  <si>
    <t>PREGO DE ACO POLIDO COM CABECA 18 X 30 (2 3/4 X 10)</t>
  </si>
  <si>
    <t>KG</t>
  </si>
  <si>
    <t>CONCRETO MAGRO PARA LASTRO, TRAÇO 1:4,5:4,5 (CIMENTO/ AREIA MÉDIA/ BRITA 1) - PREPARO MECÂNICO COM BETONEIRA 400 L. AF_07/2016</t>
  </si>
  <si>
    <t>RUA IMPERIAL</t>
  </si>
  <si>
    <t>RUA VIRTUDE</t>
  </si>
  <si>
    <t>AV. PRESIDENTE TANCREDO NEVES</t>
  </si>
  <si>
    <t>RUA PARAÍSO</t>
  </si>
  <si>
    <t>TRANSPORTE COM CAMINHÃO BASCULANTE DE 10 M³, EM VIA URBANA PAVIMENTADA ADICIONAL PARA DMT EXCEDENTE A 30 KM (UNIDADE: M3XKM). AF_07/2020</t>
  </si>
  <si>
    <t>3.2.12</t>
  </si>
  <si>
    <t>TRANSPORTE COM CAMINHÃO BASCULANTE DE 10 M³, EM VIA URBANA EM LEITO NATURAL (UNIDADE: TXKM). AF_07/2020</t>
  </si>
  <si>
    <t>E002</t>
  </si>
  <si>
    <t>Trator de Esteiras : Caterpillar : D6M - com lâmina</t>
  </si>
  <si>
    <t>E006</t>
  </si>
  <si>
    <t>Motoniveladora : Caterpillar : 120M</t>
  </si>
  <si>
    <t>E007</t>
  </si>
  <si>
    <t>Trator Agrícola : Massey Ferguson : MF 4291/4 449A</t>
  </si>
  <si>
    <t>E010</t>
  </si>
  <si>
    <t>Carregadeira de Pneus : Caterpillar : 950H -3,3 m3</t>
  </si>
  <si>
    <t>E011</t>
  </si>
  <si>
    <t>Retroescavadeira : Massey Ferguson : MF-86HS -de pneus</t>
  </si>
  <si>
    <t>E013</t>
  </si>
  <si>
    <t>Rolo Compactador : Dynapac : CA-250-P -pé de carneiro autop. 11,25t vibrat</t>
  </si>
  <si>
    <t>E062</t>
  </si>
  <si>
    <t>Escavadeira Hidráulica : Caterpillar : 336DL -com esteira</t>
  </si>
  <si>
    <t>E102</t>
  </si>
  <si>
    <t>Rolo Compactador : Dynapac : CC-424HF -Tanden vibrat. autoprop. 10,2 t</t>
  </si>
  <si>
    <t>E105</t>
  </si>
  <si>
    <t>Rolo Compactador : Caterpillar : PS-360 C -de pneus autoprop. 25 t</t>
  </si>
  <si>
    <t>E106</t>
  </si>
  <si>
    <t>Vassoura Mecânica : CMV : VM 2440 -rebocável</t>
  </si>
  <si>
    <t>E109</t>
  </si>
  <si>
    <t>Distribuidor de Agregados : Romanelli : DAR-5000 - autopropelido</t>
  </si>
  <si>
    <t>E110</t>
  </si>
  <si>
    <t>Tanque de Estocagem de Asfalto : Cifali : -30,000 l</t>
  </si>
  <si>
    <t>E112</t>
  </si>
  <si>
    <t>Aquecedor de Fluido Térmico : Tenge : TH III -</t>
  </si>
  <si>
    <t>1.14</t>
  </si>
  <si>
    <t>1.15</t>
  </si>
  <si>
    <t>1.16</t>
  </si>
  <si>
    <t>1.17</t>
  </si>
  <si>
    <t>1.18</t>
  </si>
  <si>
    <t xml:space="preserve">HORA </t>
  </si>
  <si>
    <t>DIA</t>
  </si>
  <si>
    <t>MÊS</t>
  </si>
  <si>
    <t>SINAPI - JULHO / 2020    DESONERADO                                                                                                                           SICRO 10/2019</t>
  </si>
  <si>
    <t>EXECUÇÃO DE DEPÓSITO EM CANTEIRO DE OBRA EM CHAPA DE MADEIRA COMPENSAD M2 AS 547,08
A, NÃO INCLUSO MOBILIÁRIO. AF_04/2016</t>
  </si>
  <si>
    <t>EXECUÇÃO DE SANITÁRIO E VESTIÁRIO EM CANTEIRO DE OBRA EM CHAPA DE MADE M2 AS 617,22
IRA COMPENSADA, NÃO INCLUSO MOBILIÁRIO. AF_02/2016</t>
  </si>
  <si>
    <t>=2,5*1,25</t>
  </si>
  <si>
    <t>=4*5</t>
  </si>
  <si>
    <t>=3*5</t>
  </si>
  <si>
    <t>PLACA DE OBRA EM CHAPA DE ACO GALVANIZADO (1,00 UNIDADE)</t>
  </si>
  <si>
    <t xml:space="preserve">PAVIMENTAÇÃO ASFALTICA E DRENAGEM DE AGUAS PLUVIAIS </t>
  </si>
  <si>
    <t>IMPRIMACAO DE BASE DE PAVIMENTACAO COM EMULSAO CM-30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</si>
</sst>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#.##000##"/>
    <numFmt numFmtId="166" formatCode="##.##000"/>
    <numFmt numFmtId="167" formatCode="_(* #,##0_);_(* \(#,##0\);_(* &quot;-&quot;??_);_(@_)"/>
    <numFmt numFmtId="168" formatCode="0.0%"/>
    <numFmt numFmtId="169" formatCode="0.0"/>
    <numFmt numFmtId="170" formatCode="#,##0.00000"/>
    <numFmt numFmtId="171" formatCode="0.00000"/>
    <numFmt numFmtId="172" formatCode="#,##0.00000000000"/>
    <numFmt numFmtId="173" formatCode="#,##0.000000"/>
    <numFmt numFmtId="174" formatCode="###,###,##0.00\ "/>
    <numFmt numFmtId="175" formatCode="#,##0.00_ ;[Red]\-#,##0.00\ "/>
    <numFmt numFmtId="176" formatCode="#,##0.000000000000_ ;[Red]\-#,##0.000000000000\ "/>
    <numFmt numFmtId="177" formatCode="_(* #,##0.000_);_(* \(#,##0.000\);_(* &quot;-&quot;???_);_(@_)"/>
    <numFmt numFmtId="178" formatCode="0.000"/>
    <numFmt numFmtId="179" formatCode="_(* #,##0.000_);_(* \(#,##0.000\);_(* &quot;-&quot;??_);_(@_)"/>
    <numFmt numFmtId="180" formatCode="_(* #,##0.00_);_(* \(#,##0.00\);_(* &quot;-&quot;???_);_(@_)"/>
    <numFmt numFmtId="181" formatCode="_-* #,##0.000_-;\-* #,##0.000_-;_-* &quot;-&quot;???_-;_-@_-"/>
    <numFmt numFmtId="182" formatCode="#,##0.0000000"/>
    <numFmt numFmtId="183" formatCode="###,###,##0.000\ "/>
    <numFmt numFmtId="184" formatCode="#,##0.000"/>
    <numFmt numFmtId="185" formatCode="0.0000"/>
    <numFmt numFmtId="186" formatCode="_-* #,##0_-;\-* #,##0_-;_-* &quot;-&quot;??_-;_-@_-"/>
    <numFmt numFmtId="187" formatCode="#,##0.0"/>
  </numFmts>
  <fonts count="9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name val="Times New Roman"/>
      <family val="1"/>
    </font>
    <font>
      <b/>
      <i/>
      <sz val="10"/>
      <name val="Arial"/>
      <family val="2"/>
    </font>
    <font>
      <b/>
      <sz val="9"/>
      <name val="Times New Roman"/>
      <family val="1"/>
    </font>
    <font>
      <sz val="16"/>
      <name val="Times New Roman"/>
      <family val="1"/>
    </font>
    <font>
      <i/>
      <sz val="10"/>
      <name val="Calibri"/>
      <family val="2"/>
    </font>
    <font>
      <sz val="10"/>
      <name val="Calibri"/>
      <family val="2"/>
    </font>
    <font>
      <i/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2"/>
      <name val="Arial"/>
      <family val="2"/>
    </font>
    <font>
      <sz val="8"/>
      <color rgb="FF000080"/>
      <name val="Arial"/>
      <family val="2"/>
    </font>
    <font>
      <b/>
      <sz val="10"/>
      <color indexed="12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color indexed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"/>
      <family val="2"/>
    </font>
    <font>
      <sz val="11"/>
      <color indexed="8"/>
      <name val="Arial"/>
      <family val="2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indexed="8"/>
      <name val="Courier"/>
      <family val="3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8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28" fillId="0" borderId="0"/>
    <xf numFmtId="0" fontId="5" fillId="0" borderId="0"/>
    <xf numFmtId="0" fontId="31" fillId="0" borderId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9" fontId="4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59" fillId="20" borderId="0" applyNumberFormat="0" applyBorder="0" applyAlignment="0" applyProtection="0"/>
    <xf numFmtId="0" fontId="59" fillId="15" borderId="0" applyNumberFormat="0" applyBorder="0" applyAlignment="0" applyProtection="0"/>
    <xf numFmtId="0" fontId="59" fillId="17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12" borderId="0" applyNumberFormat="0" applyBorder="0" applyAlignment="0" applyProtection="0"/>
    <xf numFmtId="0" fontId="59" fillId="24" borderId="0" applyNumberFormat="0" applyBorder="0" applyAlignment="0" applyProtection="0"/>
    <xf numFmtId="0" fontId="59" fillId="18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4" borderId="0" applyNumberFormat="0" applyBorder="0" applyAlignment="0" applyProtection="0"/>
    <xf numFmtId="0" fontId="60" fillId="9" borderId="0" applyNumberFormat="0" applyBorder="0" applyAlignment="0" applyProtection="0"/>
    <xf numFmtId="0" fontId="64" fillId="12" borderId="0" applyNumberFormat="0" applyBorder="0" applyAlignment="0" applyProtection="0"/>
    <xf numFmtId="0" fontId="61" fillId="28" borderId="98" applyNumberFormat="0" applyAlignment="0" applyProtection="0"/>
    <xf numFmtId="0" fontId="75" fillId="29" borderId="98" applyNumberFormat="0" applyAlignment="0" applyProtection="0"/>
    <xf numFmtId="0" fontId="62" fillId="30" borderId="99" applyNumberFormat="0" applyAlignment="0" applyProtection="0"/>
    <xf numFmtId="0" fontId="74" fillId="0" borderId="100" applyNumberFormat="0" applyFill="0" applyAlignment="0" applyProtection="0"/>
    <xf numFmtId="0" fontId="62" fillId="30" borderId="99" applyNumberFormat="0" applyAlignment="0" applyProtection="0"/>
    <xf numFmtId="0" fontId="59" fillId="31" borderId="0" applyNumberFormat="0" applyBorder="0" applyAlignment="0" applyProtection="0"/>
    <xf numFmtId="0" fontId="59" fillId="24" borderId="0" applyNumberFormat="0" applyBorder="0" applyAlignment="0" applyProtection="0"/>
    <xf numFmtId="0" fontId="59" fillId="18" borderId="0" applyNumberFormat="0" applyBorder="0" applyAlignment="0" applyProtection="0"/>
    <xf numFmtId="0" fontId="59" fillId="32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68" fillId="19" borderId="98" applyNumberFormat="0" applyAlignment="0" applyProtection="0"/>
    <xf numFmtId="0" fontId="63" fillId="0" borderId="0" applyNumberFormat="0" applyFill="0" applyBorder="0" applyAlignment="0" applyProtection="0"/>
    <xf numFmtId="0" fontId="64" fillId="10" borderId="0" applyNumberFormat="0" applyBorder="0" applyAlignment="0" applyProtection="0"/>
    <xf numFmtId="0" fontId="65" fillId="0" borderId="101" applyNumberFormat="0" applyFill="0" applyAlignment="0" applyProtection="0"/>
    <xf numFmtId="0" fontId="66" fillId="0" borderId="102" applyNumberFormat="0" applyFill="0" applyAlignment="0" applyProtection="0"/>
    <xf numFmtId="0" fontId="67" fillId="0" borderId="103" applyNumberFormat="0" applyFill="0" applyAlignment="0" applyProtection="0"/>
    <xf numFmtId="0" fontId="67" fillId="0" borderId="0" applyNumberFormat="0" applyFill="0" applyBorder="0" applyAlignment="0" applyProtection="0"/>
    <xf numFmtId="0" fontId="60" fillId="11" borderId="0" applyNumberFormat="0" applyBorder="0" applyAlignment="0" applyProtection="0"/>
    <xf numFmtId="0" fontId="68" fillId="13" borderId="98" applyNumberFormat="0" applyAlignment="0" applyProtection="0"/>
    <xf numFmtId="0" fontId="69" fillId="0" borderId="104" applyNumberFormat="0" applyFill="0" applyAlignment="0" applyProtection="0"/>
    <xf numFmtId="0" fontId="76" fillId="19" borderId="0" applyNumberFormat="0" applyBorder="0" applyAlignment="0" applyProtection="0"/>
    <xf numFmtId="0" fontId="70" fillId="19" borderId="0" applyNumberFormat="0" applyBorder="0" applyAlignment="0" applyProtection="0"/>
    <xf numFmtId="0" fontId="58" fillId="16" borderId="105" applyNumberFormat="0" applyFont="0" applyAlignment="0" applyProtection="0"/>
    <xf numFmtId="0" fontId="28" fillId="16" borderId="105" applyNumberFormat="0" applyFont="0" applyAlignment="0" applyProtection="0"/>
    <xf numFmtId="0" fontId="71" fillId="28" borderId="106" applyNumberFormat="0" applyAlignment="0" applyProtection="0"/>
    <xf numFmtId="0" fontId="71" fillId="29" borderId="106" applyNumberFormat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07" applyNumberFormat="0" applyFill="0" applyAlignment="0" applyProtection="0"/>
    <xf numFmtId="0" fontId="79" fillId="0" borderId="108" applyNumberFormat="0" applyFill="0" applyAlignment="0" applyProtection="0"/>
    <xf numFmtId="0" fontId="80" fillId="0" borderId="109" applyNumberFormat="0" applyFill="0" applyAlignment="0" applyProtection="0"/>
    <xf numFmtId="0" fontId="80" fillId="0" borderId="0" applyNumberFormat="0" applyFill="0" applyBorder="0" applyAlignment="0" applyProtection="0"/>
    <xf numFmtId="0" fontId="73" fillId="0" borderId="110" applyNumberFormat="0" applyFill="0" applyAlignment="0" applyProtection="0"/>
    <xf numFmtId="0" fontId="74" fillId="0" borderId="0" applyNumberFormat="0" applyFill="0" applyBorder="0" applyAlignment="0" applyProtection="0"/>
    <xf numFmtId="0" fontId="4" fillId="0" borderId="0"/>
    <xf numFmtId="0" fontId="4" fillId="16" borderId="105" applyNumberFormat="0" applyFont="0" applyAlignment="0" applyProtection="0"/>
    <xf numFmtId="0" fontId="4" fillId="0" borderId="0"/>
    <xf numFmtId="0" fontId="3" fillId="0" borderId="0"/>
    <xf numFmtId="44" fontId="28" fillId="0" borderId="0" applyFont="0" applyFill="0" applyBorder="0" applyAlignment="0" applyProtection="0"/>
    <xf numFmtId="0" fontId="87" fillId="0" borderId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1554">
    <xf numFmtId="0" fontId="0" fillId="0" borderId="0" xfId="0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Fill="1" applyBorder="1" applyAlignment="1">
      <alignment horizontal="right" vertical="center"/>
    </xf>
    <xf numFmtId="0" fontId="14" fillId="0" borderId="0" xfId="0" applyFo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/>
    <xf numFmtId="165" fontId="14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 wrapText="1"/>
    </xf>
    <xf numFmtId="4" fontId="33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10" fontId="8" fillId="0" borderId="0" xfId="0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vertical="center"/>
    </xf>
    <xf numFmtId="10" fontId="14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164" fontId="0" fillId="0" borderId="25" xfId="9" applyFont="1" applyFill="1" applyBorder="1" applyAlignment="1">
      <alignment vertical="center"/>
    </xf>
    <xf numFmtId="164" fontId="0" fillId="0" borderId="25" xfId="9" quotePrefix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0" fontId="14" fillId="0" borderId="0" xfId="0" applyFont="1" applyBorder="1" applyAlignment="1">
      <alignment horizontal="center" vertical="center"/>
    </xf>
    <xf numFmtId="0" fontId="13" fillId="0" borderId="0" xfId="0" applyFont="1"/>
    <xf numFmtId="0" fontId="34" fillId="0" borderId="0" xfId="0" applyFont="1"/>
    <xf numFmtId="4" fontId="34" fillId="0" borderId="0" xfId="0" applyNumberFormat="1" applyFont="1"/>
    <xf numFmtId="0" fontId="26" fillId="0" borderId="0" xfId="0" applyFont="1"/>
    <xf numFmtId="164" fontId="11" fillId="0" borderId="31" xfId="8" applyFont="1" applyFill="1" applyBorder="1" applyAlignment="1">
      <alignment vertical="center"/>
    </xf>
    <xf numFmtId="0" fontId="11" fillId="0" borderId="31" xfId="0" applyFont="1" applyFill="1" applyBorder="1" applyAlignment="1">
      <alignment horizontal="center" vertical="center"/>
    </xf>
    <xf numFmtId="2" fontId="11" fillId="0" borderId="31" xfId="0" applyNumberFormat="1" applyFont="1" applyBorder="1" applyAlignment="1">
      <alignment horizontal="center" vertical="center"/>
    </xf>
    <xf numFmtId="171" fontId="34" fillId="0" borderId="0" xfId="0" applyNumberFormat="1" applyFont="1"/>
    <xf numFmtId="0" fontId="42" fillId="3" borderId="13" xfId="1" applyFont="1" applyFill="1" applyBorder="1" applyAlignment="1">
      <alignment horizontal="center" vertical="center"/>
    </xf>
    <xf numFmtId="0" fontId="43" fillId="3" borderId="13" xfId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15" fillId="0" borderId="0" xfId="2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4" fontId="34" fillId="0" borderId="0" xfId="0" applyNumberFormat="1" applyFont="1" applyBorder="1"/>
    <xf numFmtId="0" fontId="47" fillId="0" borderId="0" xfId="0" applyFont="1" applyAlignment="1"/>
    <xf numFmtId="164" fontId="0" fillId="0" borderId="0" xfId="0" applyNumberFormat="1"/>
    <xf numFmtId="4" fontId="11" fillId="0" borderId="31" xfId="0" applyNumberFormat="1" applyFont="1" applyBorder="1" applyAlignment="1">
      <alignment horizontal="center" vertical="center"/>
    </xf>
    <xf numFmtId="0" fontId="0" fillId="0" borderId="0" xfId="0"/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horizontal="right"/>
    </xf>
    <xf numFmtId="40" fontId="6" fillId="0" borderId="0" xfId="7" applyNumberFormat="1" applyFont="1" applyFill="1" applyBorder="1" applyAlignment="1"/>
    <xf numFmtId="40" fontId="48" fillId="0" borderId="0" xfId="7" applyNumberFormat="1" applyFont="1" applyFill="1" applyBorder="1" applyAlignment="1"/>
    <xf numFmtId="0" fontId="0" fillId="0" borderId="0" xfId="0" applyFill="1" applyBorder="1"/>
    <xf numFmtId="0" fontId="0" fillId="0" borderId="0" xfId="0" applyFill="1" applyAlignment="1">
      <alignment horizontal="right"/>
    </xf>
    <xf numFmtId="40" fontId="49" fillId="0" borderId="56" xfId="7" applyNumberFormat="1" applyFont="1" applyFill="1" applyBorder="1" applyAlignment="1">
      <alignment horizontal="center"/>
    </xf>
    <xf numFmtId="40" fontId="50" fillId="0" borderId="63" xfId="7" applyNumberFormat="1" applyFont="1" applyFill="1" applyBorder="1" applyAlignment="1"/>
    <xf numFmtId="40" fontId="49" fillId="0" borderId="53" xfId="7" applyNumberFormat="1" applyFont="1" applyFill="1" applyBorder="1" applyAlignment="1">
      <alignment horizontal="center"/>
    </xf>
    <xf numFmtId="0" fontId="37" fillId="0" borderId="54" xfId="0" applyFont="1" applyFill="1" applyBorder="1" applyAlignment="1">
      <alignment horizontal="right"/>
    </xf>
    <xf numFmtId="1" fontId="49" fillId="0" borderId="48" xfId="0" applyNumberFormat="1" applyFont="1" applyBorder="1" applyAlignment="1"/>
    <xf numFmtId="1" fontId="49" fillId="0" borderId="45" xfId="0" applyNumberFormat="1" applyFont="1" applyBorder="1" applyAlignment="1">
      <alignment horizontal="left"/>
    </xf>
    <xf numFmtId="1" fontId="49" fillId="0" borderId="45" xfId="0" applyNumberFormat="1" applyFont="1" applyBorder="1" applyAlignment="1"/>
    <xf numFmtId="1" fontId="49" fillId="0" borderId="45" xfId="0" applyNumberFormat="1" applyFont="1" applyFill="1" applyBorder="1" applyAlignment="1">
      <alignment horizontal="center"/>
    </xf>
    <xf numFmtId="40" fontId="49" fillId="0" borderId="49" xfId="7" applyNumberFormat="1" applyFont="1" applyFill="1" applyBorder="1"/>
    <xf numFmtId="40" fontId="49" fillId="0" borderId="20" xfId="7" applyNumberFormat="1" applyFont="1" applyBorder="1" applyAlignment="1">
      <alignment horizontal="center"/>
    </xf>
    <xf numFmtId="40" fontId="51" fillId="0" borderId="51" xfId="7" applyNumberFormat="1" applyFont="1" applyFill="1" applyBorder="1"/>
    <xf numFmtId="40" fontId="51" fillId="0" borderId="20" xfId="7" applyNumberFormat="1" applyFont="1" applyBorder="1" applyAlignment="1">
      <alignment horizontal="center"/>
    </xf>
    <xf numFmtId="40" fontId="51" fillId="0" borderId="20" xfId="7" applyNumberFormat="1" applyFont="1" applyFill="1" applyBorder="1"/>
    <xf numFmtId="175" fontId="0" fillId="0" borderId="0" xfId="0" applyNumberFormat="1"/>
    <xf numFmtId="1" fontId="51" fillId="0" borderId="50" xfId="0" applyNumberFormat="1" applyFont="1" applyBorder="1" applyAlignment="1"/>
    <xf numFmtId="1" fontId="51" fillId="0" borderId="20" xfId="0" applyNumberFormat="1" applyFont="1" applyBorder="1" applyAlignment="1">
      <alignment horizontal="left"/>
    </xf>
    <xf numFmtId="40" fontId="51" fillId="0" borderId="20" xfId="7" applyNumberFormat="1" applyFont="1" applyFill="1" applyBorder="1" applyAlignment="1">
      <alignment horizontal="right"/>
    </xf>
    <xf numFmtId="40" fontId="51" fillId="0" borderId="50" xfId="7" applyNumberFormat="1" applyFont="1" applyBorder="1"/>
    <xf numFmtId="40" fontId="51" fillId="0" borderId="20" xfId="7" applyNumberFormat="1" applyFont="1" applyBorder="1" applyAlignment="1">
      <alignment horizontal="left"/>
    </xf>
    <xf numFmtId="40" fontId="51" fillId="0" borderId="20" xfId="7" applyNumberFormat="1" applyFont="1" applyBorder="1"/>
    <xf numFmtId="0" fontId="37" fillId="0" borderId="20" xfId="0" applyFont="1" applyBorder="1"/>
    <xf numFmtId="0" fontId="51" fillId="0" borderId="52" xfId="0" applyFont="1" applyBorder="1"/>
    <xf numFmtId="0" fontId="51" fillId="0" borderId="53" xfId="0" applyFont="1" applyBorder="1" applyAlignment="1">
      <alignment horizontal="left"/>
    </xf>
    <xf numFmtId="0" fontId="51" fillId="0" borderId="53" xfId="0" applyFont="1" applyBorder="1"/>
    <xf numFmtId="40" fontId="51" fillId="0" borderId="53" xfId="7" applyNumberFormat="1" applyFont="1" applyBorder="1"/>
    <xf numFmtId="0" fontId="37" fillId="0" borderId="53" xfId="0" applyFont="1" applyBorder="1"/>
    <xf numFmtId="43" fontId="0" fillId="0" borderId="0" xfId="0" applyNumberFormat="1" applyFill="1"/>
    <xf numFmtId="40" fontId="0" fillId="0" borderId="0" xfId="0" applyNumberFormat="1" applyFill="1" applyBorder="1"/>
    <xf numFmtId="175" fontId="0" fillId="0" borderId="0" xfId="0" applyNumberFormat="1" applyFill="1" applyAlignment="1">
      <alignment horizontal="right"/>
    </xf>
    <xf numFmtId="40" fontId="48" fillId="0" borderId="0" xfId="0" applyNumberFormat="1" applyFont="1" applyFill="1" applyBorder="1"/>
    <xf numFmtId="175" fontId="0" fillId="0" borderId="0" xfId="0" applyNumberFormat="1" applyFill="1"/>
    <xf numFmtId="43" fontId="0" fillId="0" borderId="0" xfId="7" applyNumberFormat="1" applyFont="1" applyFill="1"/>
    <xf numFmtId="43" fontId="0" fillId="0" borderId="20" xfId="7" applyNumberFormat="1" applyFont="1" applyFill="1" applyBorder="1"/>
    <xf numFmtId="176" fontId="52" fillId="0" borderId="20" xfId="7" applyNumberFormat="1" applyFont="1" applyFill="1" applyBorder="1"/>
    <xf numFmtId="0" fontId="53" fillId="0" borderId="0" xfId="0" applyFont="1"/>
    <xf numFmtId="0" fontId="0" fillId="0" borderId="0" xfId="0"/>
    <xf numFmtId="0" fontId="13" fillId="0" borderId="0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8" fillId="0" borderId="1" xfId="2" applyFont="1" applyFill="1" applyBorder="1"/>
    <xf numFmtId="0" fontId="8" fillId="0" borderId="43" xfId="2" applyFont="1" applyFill="1" applyBorder="1"/>
    <xf numFmtId="0" fontId="13" fillId="0" borderId="3" xfId="2" applyFont="1" applyFill="1" applyBorder="1" applyAlignment="1">
      <alignment horizontal="right"/>
    </xf>
    <xf numFmtId="0" fontId="13" fillId="0" borderId="53" xfId="2" applyFont="1" applyFill="1" applyBorder="1" applyAlignment="1">
      <alignment horizontal="right"/>
    </xf>
    <xf numFmtId="4" fontId="13" fillId="0" borderId="3" xfId="2" applyNumberFormat="1" applyFont="1" applyFill="1" applyBorder="1" applyAlignment="1">
      <alignment horizontal="left"/>
    </xf>
    <xf numFmtId="0" fontId="5" fillId="0" borderId="3" xfId="2" applyBorder="1"/>
    <xf numFmtId="0" fontId="0" fillId="0" borderId="80" xfId="0" applyFill="1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2" fillId="0" borderId="12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164" fontId="39" fillId="5" borderId="27" xfId="9" applyFont="1" applyFill="1" applyBorder="1" applyAlignment="1">
      <alignment vertical="center"/>
    </xf>
    <xf numFmtId="0" fontId="0" fillId="0" borderId="27" xfId="0" quotePrefix="1" applyBorder="1" applyAlignment="1">
      <alignment horizontal="center" vertical="center"/>
    </xf>
    <xf numFmtId="2" fontId="39" fillId="0" borderId="27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5" fillId="0" borderId="25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164" fontId="39" fillId="0" borderId="25" xfId="9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quotePrefix="1" applyBorder="1" applyAlignment="1">
      <alignment horizontal="center" vertical="center"/>
    </xf>
    <xf numFmtId="2" fontId="39" fillId="0" borderId="25" xfId="0" applyNumberFormat="1" applyFont="1" applyBorder="1" applyAlignment="1">
      <alignment vertical="center"/>
    </xf>
    <xf numFmtId="164" fontId="0" fillId="0" borderId="27" xfId="9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2" fontId="31" fillId="0" borderId="21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0" fillId="0" borderId="80" xfId="0" applyBorder="1" applyAlignment="1">
      <alignment vertical="center"/>
    </xf>
    <xf numFmtId="0" fontId="32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39" fillId="0" borderId="25" xfId="0" applyFon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64" fontId="0" fillId="3" borderId="25" xfId="9" applyFont="1" applyFill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39" fillId="0" borderId="25" xfId="0" applyFont="1" applyBorder="1" applyAlignment="1">
      <alignment vertical="center"/>
    </xf>
    <xf numFmtId="2" fontId="0" fillId="0" borderId="25" xfId="0" applyNumberFormat="1" applyBorder="1" applyAlignment="1">
      <alignment horizontal="center" vertical="center"/>
    </xf>
    <xf numFmtId="2" fontId="0" fillId="3" borderId="25" xfId="0" applyNumberFormat="1" applyFill="1" applyBorder="1" applyAlignment="1">
      <alignment vertical="center"/>
    </xf>
    <xf numFmtId="164" fontId="0" fillId="0" borderId="25" xfId="9" applyFont="1" applyBorder="1" applyAlignment="1">
      <alignment horizontal="center" vertical="center"/>
    </xf>
    <xf numFmtId="2" fontId="0" fillId="0" borderId="25" xfId="0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9" applyFont="1" applyBorder="1" applyAlignment="1">
      <alignment horizontal="center" vertical="center"/>
    </xf>
    <xf numFmtId="2" fontId="0" fillId="3" borderId="0" xfId="0" applyNumberFormat="1" applyFill="1" applyBorder="1" applyAlignment="1">
      <alignment vertical="center"/>
    </xf>
    <xf numFmtId="0" fontId="39" fillId="0" borderId="79" xfId="0" applyFont="1" applyBorder="1" applyAlignment="1">
      <alignment vertical="center"/>
    </xf>
    <xf numFmtId="0" fontId="0" fillId="0" borderId="60" xfId="0" applyBorder="1" applyAlignment="1">
      <alignment vertical="center"/>
    </xf>
    <xf numFmtId="4" fontId="39" fillId="0" borderId="25" xfId="0" applyNumberFormat="1" applyFont="1" applyBorder="1" applyAlignment="1">
      <alignment vertical="center"/>
    </xf>
    <xf numFmtId="4" fontId="0" fillId="0" borderId="25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39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9" fillId="0" borderId="81" xfId="0" applyFont="1" applyBorder="1" applyAlignment="1">
      <alignment vertical="center"/>
    </xf>
    <xf numFmtId="0" fontId="19" fillId="0" borderId="68" xfId="0" applyFont="1" applyBorder="1" applyAlignment="1">
      <alignment vertical="center"/>
    </xf>
    <xf numFmtId="164" fontId="40" fillId="0" borderId="68" xfId="9" applyFont="1" applyBorder="1" applyAlignment="1">
      <alignment vertical="center"/>
    </xf>
    <xf numFmtId="0" fontId="34" fillId="0" borderId="20" xfId="0" applyFont="1" applyBorder="1" applyAlignment="1">
      <alignment horizontal="center" vertical="center"/>
    </xf>
    <xf numFmtId="2" fontId="34" fillId="0" borderId="20" xfId="0" applyNumberFormat="1" applyFont="1" applyFill="1" applyBorder="1" applyAlignment="1">
      <alignment horizontal="right" vertical="center" wrapText="1"/>
    </xf>
    <xf numFmtId="0" fontId="34" fillId="0" borderId="51" xfId="0" applyFont="1" applyBorder="1" applyAlignment="1">
      <alignment horizontal="center" vertical="center"/>
    </xf>
    <xf numFmtId="2" fontId="31" fillId="0" borderId="0" xfId="0" applyNumberFormat="1" applyFont="1" applyFill="1" applyBorder="1" applyAlignment="1">
      <alignment vertical="center"/>
    </xf>
    <xf numFmtId="164" fontId="34" fillId="0" borderId="20" xfId="0" applyNumberFormat="1" applyFont="1" applyFill="1" applyBorder="1" applyAlignment="1">
      <alignment horizontal="right" vertical="center" wrapText="1"/>
    </xf>
    <xf numFmtId="164" fontId="31" fillId="0" borderId="0" xfId="0" applyNumberFormat="1" applyFont="1" applyFill="1" applyBorder="1" applyAlignment="1">
      <alignment vertical="center"/>
    </xf>
    <xf numFmtId="0" fontId="34" fillId="0" borderId="53" xfId="0" applyFont="1" applyBorder="1" applyAlignment="1">
      <alignment horizontal="center" vertical="center"/>
    </xf>
    <xf numFmtId="164" fontId="34" fillId="0" borderId="53" xfId="0" applyNumberFormat="1" applyFont="1" applyFill="1" applyBorder="1" applyAlignment="1">
      <alignment horizontal="right" vertical="center" wrapText="1"/>
    </xf>
    <xf numFmtId="0" fontId="34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2" fillId="3" borderId="13" xfId="1" applyFont="1" applyFill="1" applyBorder="1" applyAlignment="1">
      <alignment vertical="center"/>
    </xf>
    <xf numFmtId="173" fontId="43" fillId="3" borderId="13" xfId="1" applyNumberFormat="1" applyFont="1" applyFill="1" applyBorder="1" applyAlignment="1">
      <alignment vertical="center"/>
    </xf>
    <xf numFmtId="174" fontId="43" fillId="3" borderId="13" xfId="1" applyNumberFormat="1" applyFont="1" applyFill="1" applyBorder="1" applyAlignment="1">
      <alignment vertical="center"/>
    </xf>
    <xf numFmtId="170" fontId="43" fillId="3" borderId="13" xfId="1" applyNumberFormat="1" applyFont="1" applyFill="1" applyBorder="1" applyAlignment="1">
      <alignment vertical="center"/>
    </xf>
    <xf numFmtId="174" fontId="43" fillId="0" borderId="13" xfId="1" applyNumberFormat="1" applyFont="1" applyFill="1" applyBorder="1" applyAlignment="1">
      <alignment vertical="center"/>
    </xf>
    <xf numFmtId="10" fontId="42" fillId="3" borderId="13" xfId="1" applyNumberFormat="1" applyFont="1" applyFill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42" fillId="3" borderId="32" xfId="1" applyFont="1" applyFill="1" applyBorder="1" applyAlignment="1">
      <alignment horizontal="center" vertical="center"/>
    </xf>
    <xf numFmtId="0" fontId="42" fillId="3" borderId="73" xfId="1" applyFont="1" applyFill="1" applyBorder="1" applyAlignment="1">
      <alignment horizontal="center" vertical="center"/>
    </xf>
    <xf numFmtId="4" fontId="42" fillId="3" borderId="73" xfId="1" applyNumberFormat="1" applyFont="1" applyFill="1" applyBorder="1" applyAlignment="1">
      <alignment horizontal="center" vertical="center"/>
    </xf>
    <xf numFmtId="0" fontId="42" fillId="3" borderId="74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174" fontId="43" fillId="3" borderId="69" xfId="1" applyNumberFormat="1" applyFont="1" applyFill="1" applyBorder="1" applyAlignment="1">
      <alignment vertical="center"/>
    </xf>
    <xf numFmtId="0" fontId="42" fillId="3" borderId="70" xfId="1" applyFont="1" applyFill="1" applyBorder="1" applyAlignment="1">
      <alignment horizontal="center" vertical="center"/>
    </xf>
    <xf numFmtId="0" fontId="42" fillId="3" borderId="71" xfId="1" applyFont="1" applyFill="1" applyBorder="1" applyAlignment="1">
      <alignment vertical="center"/>
    </xf>
    <xf numFmtId="4" fontId="42" fillId="3" borderId="71" xfId="1" applyNumberFormat="1" applyFont="1" applyFill="1" applyBorder="1" applyAlignment="1">
      <alignment vertical="center"/>
    </xf>
    <xf numFmtId="174" fontId="42" fillId="3" borderId="72" xfId="1" applyNumberFormat="1" applyFont="1" applyFill="1" applyBorder="1" applyAlignment="1">
      <alignment vertical="center"/>
    </xf>
    <xf numFmtId="0" fontId="42" fillId="3" borderId="14" xfId="1" applyFont="1" applyFill="1" applyBorder="1" applyAlignment="1">
      <alignment horizontal="center" vertical="center"/>
    </xf>
    <xf numFmtId="0" fontId="42" fillId="3" borderId="14" xfId="1" applyFont="1" applyFill="1" applyBorder="1" applyAlignment="1">
      <alignment vertical="center"/>
    </xf>
    <xf numFmtId="0" fontId="42" fillId="3" borderId="73" xfId="1" applyFont="1" applyFill="1" applyBorder="1" applyAlignment="1">
      <alignment vertical="center"/>
    </xf>
    <xf numFmtId="4" fontId="42" fillId="3" borderId="73" xfId="1" applyNumberFormat="1" applyFont="1" applyFill="1" applyBorder="1" applyAlignment="1">
      <alignment vertical="center"/>
    </xf>
    <xf numFmtId="0" fontId="42" fillId="3" borderId="74" xfId="1" applyFont="1" applyFill="1" applyBorder="1" applyAlignment="1">
      <alignment vertical="center"/>
    </xf>
    <xf numFmtId="0" fontId="43" fillId="0" borderId="34" xfId="1" applyFont="1" applyFill="1" applyBorder="1" applyAlignment="1">
      <alignment horizontal="center" vertical="center" wrapText="1"/>
    </xf>
    <xf numFmtId="0" fontId="42" fillId="3" borderId="44" xfId="1" applyFont="1" applyFill="1" applyBorder="1" applyAlignment="1">
      <alignment vertical="center"/>
    </xf>
    <xf numFmtId="0" fontId="42" fillId="3" borderId="84" xfId="1" applyFont="1" applyFill="1" applyBorder="1" applyAlignment="1">
      <alignment horizontal="center" vertical="center"/>
    </xf>
    <xf numFmtId="0" fontId="42" fillId="3" borderId="85" xfId="1" applyFont="1" applyFill="1" applyBorder="1" applyAlignment="1">
      <alignment vertical="center"/>
    </xf>
    <xf numFmtId="174" fontId="42" fillId="3" borderId="86" xfId="1" applyNumberFormat="1" applyFont="1" applyFill="1" applyBorder="1" applyAlignment="1">
      <alignment vertical="center"/>
    </xf>
    <xf numFmtId="0" fontId="42" fillId="3" borderId="76" xfId="1" applyFont="1" applyFill="1" applyBorder="1" applyAlignment="1">
      <alignment horizontal="center" vertical="center"/>
    </xf>
    <xf numFmtId="174" fontId="42" fillId="3" borderId="75" xfId="1" applyNumberFormat="1" applyFont="1" applyFill="1" applyBorder="1" applyAlignment="1">
      <alignment vertical="center"/>
    </xf>
    <xf numFmtId="0" fontId="42" fillId="3" borderId="34" xfId="1" applyFont="1" applyFill="1" applyBorder="1" applyAlignment="1">
      <alignment horizontal="center" vertical="center"/>
    </xf>
    <xf numFmtId="174" fontId="42" fillId="3" borderId="69" xfId="1" applyNumberFormat="1" applyFont="1" applyFill="1" applyBorder="1" applyAlignment="1">
      <alignment vertical="center"/>
    </xf>
    <xf numFmtId="0" fontId="42" fillId="3" borderId="71" xfId="1" applyFont="1" applyFill="1" applyBorder="1" applyAlignment="1">
      <alignment horizontal="center" vertical="center"/>
    </xf>
    <xf numFmtId="0" fontId="43" fillId="3" borderId="34" xfId="1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42" fillId="3" borderId="37" xfId="1" applyFont="1" applyFill="1" applyBorder="1" applyAlignment="1">
      <alignment horizontal="center" vertical="center"/>
    </xf>
    <xf numFmtId="174" fontId="42" fillId="3" borderId="87" xfId="1" applyNumberFormat="1" applyFont="1" applyFill="1" applyBorder="1" applyAlignment="1">
      <alignment vertical="center"/>
    </xf>
    <xf numFmtId="0" fontId="42" fillId="3" borderId="44" xfId="1" applyFont="1" applyFill="1" applyBorder="1" applyAlignment="1">
      <alignment horizontal="center" vertical="center"/>
    </xf>
    <xf numFmtId="0" fontId="42" fillId="3" borderId="85" xfId="1" applyFont="1" applyFill="1" applyBorder="1" applyAlignment="1">
      <alignment horizontal="center" vertical="center"/>
    </xf>
    <xf numFmtId="0" fontId="42" fillId="3" borderId="75" xfId="1" applyFont="1" applyFill="1" applyBorder="1" applyAlignment="1">
      <alignment horizontal="center" vertical="center"/>
    </xf>
    <xf numFmtId="0" fontId="29" fillId="0" borderId="88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4" fontId="36" fillId="0" borderId="13" xfId="2" applyNumberFormat="1" applyFont="1" applyFill="1" applyBorder="1" applyAlignment="1">
      <alignment horizontal="left" vertical="center"/>
    </xf>
    <xf numFmtId="4" fontId="38" fillId="0" borderId="13" xfId="2" applyNumberFormat="1" applyFont="1" applyFill="1" applyBorder="1" applyAlignment="1">
      <alignment vertical="center"/>
    </xf>
    <xf numFmtId="0" fontId="38" fillId="0" borderId="13" xfId="2" applyNumberFormat="1" applyFont="1" applyFill="1" applyBorder="1" applyAlignment="1">
      <alignment horizontal="center" vertical="center"/>
    </xf>
    <xf numFmtId="0" fontId="38" fillId="0" borderId="13" xfId="2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/>
    </xf>
    <xf numFmtId="4" fontId="13" fillId="0" borderId="13" xfId="2" applyNumberFormat="1" applyFont="1" applyFill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/>
    </xf>
    <xf numFmtId="0" fontId="38" fillId="0" borderId="69" xfId="2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10" fontId="14" fillId="0" borderId="0" xfId="6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21" fillId="3" borderId="0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46" fillId="0" borderId="0" xfId="0" applyFont="1" applyAlignment="1">
      <alignment vertical="center"/>
    </xf>
    <xf numFmtId="164" fontId="46" fillId="0" borderId="0" xfId="7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10" fontId="34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25" fillId="0" borderId="0" xfId="2" applyFont="1" applyBorder="1" applyAlignment="1">
      <alignment horizontal="center" vertical="center"/>
    </xf>
    <xf numFmtId="4" fontId="25" fillId="0" borderId="0" xfId="2" applyNumberFormat="1" applyFont="1" applyBorder="1" applyAlignment="1">
      <alignment horizontal="center" vertical="center"/>
    </xf>
    <xf numFmtId="4" fontId="25" fillId="0" borderId="0" xfId="2" applyNumberFormat="1" applyFont="1" applyBorder="1" applyAlignment="1">
      <alignment vertical="center"/>
    </xf>
    <xf numFmtId="181" fontId="5" fillId="3" borderId="20" xfId="2" applyNumberFormat="1" applyFill="1" applyBorder="1" applyAlignment="1">
      <alignment vertical="center"/>
    </xf>
    <xf numFmtId="0" fontId="5" fillId="0" borderId="0" xfId="2" applyAlignment="1">
      <alignment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54" fillId="0" borderId="0" xfId="4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" fillId="3" borderId="0" xfId="2" applyFill="1" applyAlignment="1">
      <alignment vertical="center"/>
    </xf>
    <xf numFmtId="177" fontId="5" fillId="3" borderId="20" xfId="2" applyNumberFormat="1" applyFill="1" applyBorder="1" applyAlignment="1">
      <alignment vertical="center"/>
    </xf>
    <xf numFmtId="164" fontId="0" fillId="3" borderId="0" xfId="11" applyFont="1" applyFill="1" applyAlignment="1">
      <alignment vertical="center"/>
    </xf>
    <xf numFmtId="177" fontId="56" fillId="3" borderId="20" xfId="2" applyNumberFormat="1" applyFont="1" applyFill="1" applyBorder="1" applyAlignment="1">
      <alignment horizontal="center" vertical="center"/>
    </xf>
    <xf numFmtId="180" fontId="19" fillId="3" borderId="12" xfId="2" applyNumberFormat="1" applyFont="1" applyFill="1" applyBorder="1" applyAlignment="1">
      <alignment vertical="center"/>
    </xf>
    <xf numFmtId="180" fontId="19" fillId="3" borderId="11" xfId="2" applyNumberFormat="1" applyFont="1" applyFill="1" applyBorder="1" applyAlignment="1">
      <alignment vertical="center"/>
    </xf>
    <xf numFmtId="180" fontId="19" fillId="3" borderId="1" xfId="2" applyNumberFormat="1" applyFont="1" applyFill="1" applyBorder="1" applyAlignment="1">
      <alignment vertical="center"/>
    </xf>
    <xf numFmtId="180" fontId="19" fillId="3" borderId="0" xfId="2" applyNumberFormat="1" applyFont="1" applyFill="1" applyBorder="1" applyAlignment="1">
      <alignment vertical="center"/>
    </xf>
    <xf numFmtId="177" fontId="5" fillId="3" borderId="0" xfId="2" applyNumberFormat="1" applyFill="1" applyBorder="1" applyAlignment="1">
      <alignment horizontal="right" vertical="center"/>
    </xf>
    <xf numFmtId="0" fontId="5" fillId="3" borderId="1" xfId="2" applyFill="1" applyBorder="1" applyAlignment="1">
      <alignment vertical="center"/>
    </xf>
    <xf numFmtId="0" fontId="5" fillId="3" borderId="0" xfId="2" applyFill="1" applyBorder="1" applyAlignment="1">
      <alignment vertical="center"/>
    </xf>
    <xf numFmtId="180" fontId="5" fillId="3" borderId="0" xfId="2" applyNumberFormat="1" applyFont="1" applyFill="1" applyBorder="1" applyAlignment="1">
      <alignment vertical="center"/>
    </xf>
    <xf numFmtId="0" fontId="5" fillId="3" borderId="0" xfId="2" applyFont="1" applyFill="1" applyBorder="1" applyAlignment="1">
      <alignment horizontal="right" vertical="center"/>
    </xf>
    <xf numFmtId="0" fontId="5" fillId="3" borderId="0" xfId="2" applyFill="1" applyBorder="1" applyAlignment="1">
      <alignment horizontal="right" vertical="center"/>
    </xf>
    <xf numFmtId="177" fontId="5" fillId="3" borderId="0" xfId="2" applyNumberFormat="1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5" fillId="3" borderId="0" xfId="2" applyFill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55" fillId="0" borderId="0" xfId="12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5" fillId="0" borderId="0" xfId="2" applyNumberFormat="1" applyAlignment="1">
      <alignment vertical="center"/>
    </xf>
    <xf numFmtId="0" fontId="25" fillId="0" borderId="0" xfId="4" applyFont="1" applyAlignment="1">
      <alignment vertical="center"/>
    </xf>
    <xf numFmtId="0" fontId="5" fillId="0" borderId="0" xfId="2" applyAlignment="1">
      <alignment horizontal="center" vertical="center"/>
    </xf>
    <xf numFmtId="0" fontId="16" fillId="0" borderId="0" xfId="4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3" fillId="3" borderId="13" xfId="1" applyFont="1" applyFill="1" applyBorder="1" applyAlignment="1">
      <alignment vertical="center" wrapText="1" shrinkToFit="1"/>
    </xf>
    <xf numFmtId="0" fontId="42" fillId="3" borderId="69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5" fillId="0" borderId="57" xfId="0" applyFont="1" applyFill="1" applyBorder="1" applyAlignment="1">
      <alignment horizontal="center"/>
    </xf>
    <xf numFmtId="4" fontId="34" fillId="0" borderId="51" xfId="0" applyNumberFormat="1" applyFont="1" applyFill="1" applyBorder="1" applyAlignment="1">
      <alignment horizontal="center" vertical="center"/>
    </xf>
    <xf numFmtId="10" fontId="27" fillId="0" borderId="54" xfId="6" applyNumberFormat="1" applyFont="1" applyBorder="1"/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10" fontId="6" fillId="0" borderId="10" xfId="6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vertical="center"/>
    </xf>
    <xf numFmtId="10" fontId="5" fillId="0" borderId="10" xfId="6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vertical="center" wrapText="1"/>
    </xf>
    <xf numFmtId="10" fontId="5" fillId="0" borderId="10" xfId="6" applyNumberFormat="1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vertical="center"/>
    </xf>
    <xf numFmtId="10" fontId="6" fillId="0" borderId="8" xfId="6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vertical="center"/>
    </xf>
    <xf numFmtId="168" fontId="6" fillId="0" borderId="11" xfId="6" applyNumberFormat="1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9" fontId="6" fillId="0" borderId="5" xfId="6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168" fontId="6" fillId="0" borderId="5" xfId="6" applyNumberFormat="1" applyFont="1" applyBorder="1" applyAlignment="1">
      <alignment horizontal="center" vertical="center"/>
    </xf>
    <xf numFmtId="164" fontId="5" fillId="0" borderId="8" xfId="0" applyNumberFormat="1" applyFont="1" applyFill="1" applyBorder="1" applyAlignment="1">
      <alignment vertical="center"/>
    </xf>
    <xf numFmtId="168" fontId="6" fillId="0" borderId="0" xfId="6" applyNumberFormat="1" applyFont="1" applyBorder="1" applyAlignment="1">
      <alignment horizontal="center" vertical="center"/>
    </xf>
    <xf numFmtId="9" fontId="6" fillId="0" borderId="8" xfId="6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168" fontId="6" fillId="0" borderId="8" xfId="6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4" fontId="0" fillId="0" borderId="0" xfId="7" applyFont="1" applyAlignment="1">
      <alignment vertical="center"/>
    </xf>
    <xf numFmtId="164" fontId="11" fillId="0" borderId="31" xfId="8" applyFont="1" applyFill="1" applyBorder="1" applyAlignment="1">
      <alignment horizontal="center" vertical="center"/>
    </xf>
    <xf numFmtId="164" fontId="14" fillId="0" borderId="0" xfId="7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8" fillId="0" borderId="19" xfId="2" applyNumberFormat="1" applyFont="1" applyFill="1" applyBorder="1" applyAlignment="1">
      <alignment horizontal="center" vertical="center"/>
    </xf>
    <xf numFmtId="0" fontId="38" fillId="0" borderId="19" xfId="2" applyFont="1" applyFill="1" applyBorder="1" applyAlignment="1">
      <alignment horizontal="center" vertical="center"/>
    </xf>
    <xf numFmtId="0" fontId="43" fillId="3" borderId="38" xfId="1" applyFont="1" applyFill="1" applyBorder="1" applyAlignment="1">
      <alignment horizontal="left" vertical="center" wrapText="1" shrinkToFit="1"/>
    </xf>
    <xf numFmtId="173" fontId="43" fillId="3" borderId="0" xfId="1" applyNumberFormat="1" applyFont="1" applyFill="1" applyBorder="1" applyAlignment="1">
      <alignment horizontal="right" vertical="center"/>
    </xf>
    <xf numFmtId="174" fontId="43" fillId="3" borderId="0" xfId="1" applyNumberFormat="1" applyFont="1" applyFill="1" applyBorder="1" applyAlignment="1">
      <alignment vertical="center"/>
    </xf>
    <xf numFmtId="174" fontId="43" fillId="3" borderId="0" xfId="1" applyNumberFormat="1" applyFont="1" applyFill="1" applyBorder="1" applyAlignment="1">
      <alignment horizontal="right" vertical="center"/>
    </xf>
    <xf numFmtId="0" fontId="34" fillId="3" borderId="20" xfId="1" applyFont="1" applyFill="1" applyBorder="1" applyAlignment="1">
      <alignment horizontal="left" vertical="center" wrapText="1" shrinkToFit="1"/>
    </xf>
    <xf numFmtId="0" fontId="34" fillId="3" borderId="20" xfId="1" applyFont="1" applyFill="1" applyBorder="1" applyAlignment="1">
      <alignment horizontal="center" vertical="center"/>
    </xf>
    <xf numFmtId="173" fontId="34" fillId="3" borderId="20" xfId="1" applyNumberFormat="1" applyFont="1" applyFill="1" applyBorder="1" applyAlignment="1">
      <alignment horizontal="right" vertical="center"/>
    </xf>
    <xf numFmtId="174" fontId="34" fillId="3" borderId="20" xfId="1" applyNumberFormat="1" applyFont="1" applyFill="1" applyBorder="1" applyAlignment="1">
      <alignment vertical="center"/>
    </xf>
    <xf numFmtId="164" fontId="8" fillId="0" borderId="0" xfId="7" applyFont="1" applyAlignment="1">
      <alignment vertical="center"/>
    </xf>
    <xf numFmtId="2" fontId="14" fillId="0" borderId="20" xfId="2" applyNumberFormat="1" applyFont="1" applyFill="1" applyBorder="1" applyAlignment="1">
      <alignment horizontal="center" vertical="center"/>
    </xf>
    <xf numFmtId="169" fontId="14" fillId="0" borderId="20" xfId="2" applyNumberFormat="1" applyFont="1" applyFill="1" applyBorder="1" applyAlignment="1">
      <alignment horizontal="center" vertical="center"/>
    </xf>
    <xf numFmtId="2" fontId="34" fillId="0" borderId="20" xfId="2" applyNumberFormat="1" applyFont="1" applyFill="1" applyBorder="1" applyAlignment="1">
      <alignment horizontal="center" vertical="center"/>
    </xf>
    <xf numFmtId="4" fontId="15" fillId="0" borderId="20" xfId="2" applyNumberFormat="1" applyFont="1" applyFill="1" applyBorder="1" applyAlignment="1">
      <alignment horizontal="center" vertical="center"/>
    </xf>
    <xf numFmtId="4" fontId="14" fillId="0" borderId="20" xfId="2" applyNumberFormat="1" applyFont="1" applyFill="1" applyBorder="1" applyAlignment="1">
      <alignment horizontal="center" vertical="center"/>
    </xf>
    <xf numFmtId="2" fontId="35" fillId="0" borderId="20" xfId="2" applyNumberFormat="1" applyFont="1" applyFill="1" applyBorder="1" applyAlignment="1">
      <alignment horizontal="center" vertical="center"/>
    </xf>
    <xf numFmtId="0" fontId="14" fillId="0" borderId="50" xfId="2" quotePrefix="1" applyFont="1" applyFill="1" applyBorder="1" applyAlignment="1">
      <alignment horizontal="center" vertical="center"/>
    </xf>
    <xf numFmtId="2" fontId="34" fillId="0" borderId="51" xfId="2" applyNumberFormat="1" applyFont="1" applyFill="1" applyBorder="1" applyAlignment="1">
      <alignment horizontal="center" vertical="center"/>
    </xf>
    <xf numFmtId="4" fontId="15" fillId="0" borderId="51" xfId="2" applyNumberFormat="1" applyFont="1" applyFill="1" applyBorder="1" applyAlignment="1">
      <alignment horizontal="center" vertical="center"/>
    </xf>
    <xf numFmtId="0" fontId="16" fillId="0" borderId="13" xfId="2" applyFont="1" applyBorder="1" applyAlignment="1">
      <alignment horizontal="center" vertical="center" wrapText="1"/>
    </xf>
    <xf numFmtId="0" fontId="43" fillId="3" borderId="0" xfId="1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0" xfId="2" applyFont="1" applyBorder="1" applyAlignment="1">
      <alignment vertical="center"/>
    </xf>
    <xf numFmtId="0" fontId="14" fillId="0" borderId="52" xfId="0" applyFont="1" applyFill="1" applyBorder="1" applyAlignment="1">
      <alignment horizontal="center" vertical="center"/>
    </xf>
    <xf numFmtId="4" fontId="38" fillId="0" borderId="13" xfId="2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50" xfId="2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14" fillId="0" borderId="20" xfId="2" applyFont="1" applyFill="1" applyBorder="1" applyAlignment="1">
      <alignment horizontal="right" vertical="center"/>
    </xf>
    <xf numFmtId="0" fontId="14" fillId="0" borderId="52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right" vertical="center"/>
    </xf>
    <xf numFmtId="10" fontId="34" fillId="0" borderId="53" xfId="2" applyNumberFormat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14" fillId="0" borderId="20" xfId="2" applyFont="1" applyBorder="1" applyAlignment="1">
      <alignment horizontal="right" vertical="center"/>
    </xf>
    <xf numFmtId="0" fontId="14" fillId="0" borderId="52" xfId="2" applyFont="1" applyBorder="1" applyAlignment="1">
      <alignment vertical="center"/>
    </xf>
    <xf numFmtId="0" fontId="14" fillId="0" borderId="53" xfId="2" applyFont="1" applyBorder="1" applyAlignment="1">
      <alignment horizontal="right" vertical="center"/>
    </xf>
    <xf numFmtId="0" fontId="14" fillId="0" borderId="20" xfId="2" applyFont="1" applyFill="1" applyBorder="1" applyAlignment="1">
      <alignment vertical="center"/>
    </xf>
    <xf numFmtId="10" fontId="34" fillId="0" borderId="51" xfId="2" applyNumberFormat="1" applyFont="1" applyFill="1" applyBorder="1" applyAlignment="1">
      <alignment vertical="center"/>
    </xf>
    <xf numFmtId="49" fontId="14" fillId="0" borderId="20" xfId="2" applyNumberFormat="1" applyFont="1" applyFill="1" applyBorder="1" applyAlignment="1">
      <alignment horizontal="right" vertical="center"/>
    </xf>
    <xf numFmtId="0" fontId="5" fillId="0" borderId="0" xfId="2" applyBorder="1" applyAlignment="1">
      <alignment vertical="center"/>
    </xf>
    <xf numFmtId="0" fontId="5" fillId="0" borderId="0" xfId="2" applyFont="1" applyBorder="1" applyAlignment="1">
      <alignment vertical="center"/>
    </xf>
    <xf numFmtId="4" fontId="6" fillId="0" borderId="0" xfId="2" applyNumberFormat="1" applyFont="1" applyBorder="1" applyAlignment="1">
      <alignment vertical="center"/>
    </xf>
    <xf numFmtId="4" fontId="5" fillId="0" borderId="0" xfId="2" applyNumberFormat="1" applyBorder="1" applyAlignment="1">
      <alignment vertical="center"/>
    </xf>
    <xf numFmtId="0" fontId="54" fillId="0" borderId="0" xfId="2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16" fillId="0" borderId="5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right" vertical="center"/>
    </xf>
    <xf numFmtId="0" fontId="16" fillId="0" borderId="52" xfId="2" applyFont="1" applyFill="1" applyBorder="1" applyAlignment="1">
      <alignment vertical="center"/>
    </xf>
    <xf numFmtId="0" fontId="16" fillId="0" borderId="53" xfId="2" applyFont="1" applyFill="1" applyBorder="1" applyAlignment="1">
      <alignment horizontal="right" vertical="center"/>
    </xf>
    <xf numFmtId="49" fontId="14" fillId="0" borderId="20" xfId="2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4" fontId="14" fillId="0" borderId="53" xfId="0" applyNumberFormat="1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6" fillId="0" borderId="0" xfId="0" applyFont="1"/>
    <xf numFmtId="0" fontId="16" fillId="0" borderId="0" xfId="0" applyFont="1" applyAlignment="1">
      <alignment vertical="center"/>
    </xf>
    <xf numFmtId="4" fontId="14" fillId="0" borderId="20" xfId="0" applyNumberFormat="1" applyFont="1" applyFill="1" applyBorder="1" applyAlignment="1">
      <alignment vertical="center"/>
    </xf>
    <xf numFmtId="4" fontId="14" fillId="0" borderId="53" xfId="0" applyNumberFormat="1" applyFont="1" applyFill="1" applyBorder="1" applyAlignment="1">
      <alignment vertical="center"/>
    </xf>
    <xf numFmtId="0" fontId="57" fillId="0" borderId="20" xfId="1" applyFont="1" applyBorder="1" applyAlignment="1">
      <alignment vertical="center"/>
    </xf>
    <xf numFmtId="0" fontId="17" fillId="0" borderId="20" xfId="1" applyFont="1" applyBorder="1" applyAlignment="1">
      <alignment vertical="center"/>
    </xf>
    <xf numFmtId="0" fontId="17" fillId="0" borderId="20" xfId="1" applyFont="1" applyBorder="1" applyAlignment="1">
      <alignment horizontal="center" vertical="center"/>
    </xf>
    <xf numFmtId="0" fontId="34" fillId="3" borderId="20" xfId="1" applyFont="1" applyFill="1" applyBorder="1" applyAlignment="1">
      <alignment vertical="center"/>
    </xf>
    <xf numFmtId="4" fontId="34" fillId="3" borderId="20" xfId="1" applyNumberFormat="1" applyFont="1" applyFill="1" applyBorder="1" applyAlignment="1">
      <alignment vertical="center"/>
    </xf>
    <xf numFmtId="0" fontId="35" fillId="3" borderId="20" xfId="1" applyFont="1" applyFill="1" applyBorder="1" applyAlignment="1">
      <alignment vertical="center"/>
    </xf>
    <xf numFmtId="0" fontId="35" fillId="3" borderId="20" xfId="1" applyFont="1" applyFill="1" applyBorder="1" applyAlignment="1">
      <alignment horizontal="center" vertical="center"/>
    </xf>
    <xf numFmtId="4" fontId="35" fillId="3" borderId="20" xfId="1" applyNumberFormat="1" applyFont="1" applyFill="1" applyBorder="1" applyAlignment="1">
      <alignment horizontal="center" vertical="center"/>
    </xf>
    <xf numFmtId="170" fontId="34" fillId="3" borderId="20" xfId="1" applyNumberFormat="1" applyFont="1" applyFill="1" applyBorder="1" applyAlignment="1">
      <alignment vertical="center"/>
    </xf>
    <xf numFmtId="4" fontId="35" fillId="3" borderId="20" xfId="1" applyNumberFormat="1" applyFont="1" applyFill="1" applyBorder="1" applyAlignment="1">
      <alignment vertical="center"/>
    </xf>
    <xf numFmtId="0" fontId="34" fillId="3" borderId="20" xfId="1" applyFont="1" applyFill="1" applyBorder="1" applyAlignment="1">
      <alignment vertical="center" wrapText="1" shrinkToFit="1"/>
    </xf>
    <xf numFmtId="182" fontId="34" fillId="3" borderId="20" xfId="1" applyNumberFormat="1" applyFont="1" applyFill="1" applyBorder="1" applyAlignment="1">
      <alignment vertical="center"/>
    </xf>
    <xf numFmtId="0" fontId="34" fillId="3" borderId="50" xfId="1" applyFont="1" applyFill="1" applyBorder="1" applyAlignment="1">
      <alignment horizontal="center" vertical="center"/>
    </xf>
    <xf numFmtId="0" fontId="34" fillId="3" borderId="50" xfId="1" applyFont="1" applyFill="1" applyBorder="1" applyAlignment="1">
      <alignment horizontal="center" vertical="center" wrapText="1"/>
    </xf>
    <xf numFmtId="10" fontId="17" fillId="0" borderId="20" xfId="1" applyNumberFormat="1" applyFont="1" applyBorder="1" applyAlignment="1">
      <alignment horizontal="center" vertical="center"/>
    </xf>
    <xf numFmtId="174" fontId="35" fillId="3" borderId="20" xfId="1" applyNumberFormat="1" applyFont="1" applyFill="1" applyBorder="1" applyAlignment="1">
      <alignment vertical="center"/>
    </xf>
    <xf numFmtId="174" fontId="34" fillId="3" borderId="20" xfId="1" applyNumberFormat="1" applyFont="1" applyFill="1" applyBorder="1" applyAlignment="1">
      <alignment horizontal="right" vertical="center"/>
    </xf>
    <xf numFmtId="0" fontId="35" fillId="3" borderId="53" xfId="1" applyFont="1" applyFill="1" applyBorder="1" applyAlignment="1">
      <alignment vertical="center"/>
    </xf>
    <xf numFmtId="174" fontId="35" fillId="3" borderId="53" xfId="1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4" fillId="0" borderId="20" xfId="0" quotePrefix="1" applyFont="1" applyFill="1" applyBorder="1" applyAlignment="1">
      <alignment vertical="center" wrapText="1"/>
    </xf>
    <xf numFmtId="4" fontId="14" fillId="0" borderId="20" xfId="8" applyNumberFormat="1" applyFont="1" applyFill="1" applyBorder="1" applyAlignment="1">
      <alignment horizontal="right" vertical="center"/>
    </xf>
    <xf numFmtId="0" fontId="34" fillId="0" borderId="50" xfId="0" applyFont="1" applyFill="1" applyBorder="1" applyAlignment="1">
      <alignment horizontal="center" vertical="center"/>
    </xf>
    <xf numFmtId="4" fontId="14" fillId="0" borderId="20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57" fillId="0" borderId="55" xfId="1" applyFont="1" applyBorder="1" applyAlignment="1">
      <alignment horizontal="center" vertical="center"/>
    </xf>
    <xf numFmtId="0" fontId="35" fillId="3" borderId="50" xfId="1" applyFont="1" applyFill="1" applyBorder="1" applyAlignment="1">
      <alignment horizontal="center" vertical="center"/>
    </xf>
    <xf numFmtId="0" fontId="35" fillId="3" borderId="52" xfId="1" applyFont="1" applyFill="1" applyBorder="1" applyAlignment="1">
      <alignment horizontal="center" vertical="center"/>
    </xf>
    <xf numFmtId="0" fontId="43" fillId="3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52" xfId="2" applyFont="1" applyFill="1" applyBorder="1" applyAlignment="1">
      <alignment horizontal="left" vertical="center"/>
    </xf>
    <xf numFmtId="0" fontId="57" fillId="0" borderId="57" xfId="1" applyFont="1" applyBorder="1" applyAlignment="1">
      <alignment horizontal="center" vertical="center"/>
    </xf>
    <xf numFmtId="0" fontId="57" fillId="0" borderId="50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0" fontId="14" fillId="0" borderId="0" xfId="0" applyNumberFormat="1" applyFont="1" applyFill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179" fontId="14" fillId="0" borderId="20" xfId="7" applyNumberFormat="1" applyFont="1" applyFill="1" applyBorder="1" applyAlignment="1">
      <alignment horizontal="right" vertical="center"/>
    </xf>
    <xf numFmtId="179" fontId="5" fillId="3" borderId="20" xfId="7" applyNumberFormat="1" applyFont="1" applyFill="1" applyBorder="1" applyAlignment="1">
      <alignment vertical="center"/>
    </xf>
    <xf numFmtId="179" fontId="5" fillId="3" borderId="20" xfId="7" applyNumberFormat="1" applyFont="1" applyFill="1" applyBorder="1" applyAlignment="1">
      <alignment horizontal="center" vertical="center"/>
    </xf>
    <xf numFmtId="179" fontId="56" fillId="3" borderId="20" xfId="7" applyNumberFormat="1" applyFont="1" applyFill="1" applyBorder="1" applyAlignment="1">
      <alignment horizontal="center" vertical="center"/>
    </xf>
    <xf numFmtId="179" fontId="5" fillId="3" borderId="0" xfId="7" applyNumberFormat="1" applyFont="1" applyFill="1" applyAlignment="1">
      <alignment vertical="center"/>
    </xf>
    <xf numFmtId="179" fontId="19" fillId="3" borderId="11" xfId="7" applyNumberFormat="1" applyFont="1" applyFill="1" applyBorder="1" applyAlignment="1">
      <alignment vertical="center"/>
    </xf>
    <xf numFmtId="179" fontId="19" fillId="3" borderId="0" xfId="7" applyNumberFormat="1" applyFont="1" applyFill="1" applyBorder="1" applyAlignment="1">
      <alignment vertical="center"/>
    </xf>
    <xf numFmtId="179" fontId="5" fillId="3" borderId="0" xfId="7" applyNumberFormat="1" applyFont="1" applyFill="1" applyBorder="1" applyAlignment="1">
      <alignment vertical="center"/>
    </xf>
    <xf numFmtId="179" fontId="5" fillId="3" borderId="0" xfId="7" applyNumberFormat="1" applyFont="1" applyFill="1" applyAlignment="1">
      <alignment horizontal="center" vertical="center"/>
    </xf>
    <xf numFmtId="179" fontId="6" fillId="3" borderId="0" xfId="7" applyNumberFormat="1" applyFont="1" applyFill="1" applyAlignment="1">
      <alignment horizontal="center" vertical="center"/>
    </xf>
    <xf numFmtId="2" fontId="35" fillId="0" borderId="53" xfId="2" applyNumberFormat="1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horizontal="center" vertical="center" wrapText="1"/>
    </xf>
    <xf numFmtId="0" fontId="35" fillId="4" borderId="56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165" fontId="15" fillId="4" borderId="56" xfId="0" applyNumberFormat="1" applyFont="1" applyFill="1" applyBorder="1" applyAlignment="1">
      <alignment horizontal="center" vertical="center" wrapText="1"/>
    </xf>
    <xf numFmtId="166" fontId="15" fillId="4" borderId="56" xfId="0" applyNumberFormat="1" applyFont="1" applyFill="1" applyBorder="1" applyAlignment="1">
      <alignment horizontal="center" vertical="center" wrapText="1"/>
    </xf>
    <xf numFmtId="10" fontId="15" fillId="4" borderId="57" xfId="0" applyNumberFormat="1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vertical="center" wrapText="1"/>
    </xf>
    <xf numFmtId="0" fontId="15" fillId="5" borderId="20" xfId="0" applyFont="1" applyFill="1" applyBorder="1" applyAlignment="1">
      <alignment horizontal="right" vertical="center" wrapText="1"/>
    </xf>
    <xf numFmtId="164" fontId="15" fillId="5" borderId="20" xfId="7" applyFont="1" applyFill="1" applyBorder="1" applyAlignment="1">
      <alignment horizontal="right" vertical="center" wrapText="1"/>
    </xf>
    <xf numFmtId="10" fontId="15" fillId="5" borderId="51" xfId="5" applyNumberFormat="1" applyFont="1" applyFill="1" applyBorder="1" applyAlignment="1">
      <alignment horizontal="right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left" vertical="center" wrapText="1"/>
    </xf>
    <xf numFmtId="164" fontId="14" fillId="0" borderId="20" xfId="7" applyNumberFormat="1" applyFont="1" applyFill="1" applyBorder="1" applyAlignment="1">
      <alignment horizontal="right" vertical="center" wrapText="1"/>
    </xf>
    <xf numFmtId="164" fontId="14" fillId="0" borderId="20" xfId="7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horizontal="justify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right" vertical="center" wrapText="1"/>
    </xf>
    <xf numFmtId="0" fontId="15" fillId="0" borderId="20" xfId="7" applyNumberFormat="1" applyFont="1" applyFill="1" applyBorder="1" applyAlignment="1">
      <alignment horizontal="right" vertical="center" wrapText="1"/>
    </xf>
    <xf numFmtId="164" fontId="15" fillId="0" borderId="20" xfId="7" applyFont="1" applyFill="1" applyBorder="1" applyAlignment="1">
      <alignment horizontal="right" vertical="center" wrapText="1"/>
    </xf>
    <xf numFmtId="166" fontId="35" fillId="5" borderId="20" xfId="0" applyNumberFormat="1" applyFont="1" applyFill="1" applyBorder="1" applyAlignment="1">
      <alignment horizontal="left" vertical="center" wrapText="1"/>
    </xf>
    <xf numFmtId="0" fontId="15" fillId="5" borderId="20" xfId="7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right" vertical="center" wrapText="1"/>
    </xf>
    <xf numFmtId="4" fontId="35" fillId="0" borderId="20" xfId="0" applyNumberFormat="1" applyFont="1" applyFill="1" applyBorder="1" applyAlignment="1">
      <alignment horizontal="right" vertical="center" wrapText="1"/>
    </xf>
    <xf numFmtId="4" fontId="34" fillId="0" borderId="20" xfId="0" applyNumberFormat="1" applyFont="1" applyFill="1" applyBorder="1" applyAlignment="1">
      <alignment horizontal="right" vertical="center" wrapText="1"/>
    </xf>
    <xf numFmtId="0" fontId="15" fillId="0" borderId="20" xfId="2" applyFont="1" applyFill="1" applyBorder="1" applyAlignment="1">
      <alignment horizontal="left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justify" vertical="center" wrapText="1"/>
    </xf>
    <xf numFmtId="4" fontId="34" fillId="3" borderId="20" xfId="0" applyNumberFormat="1" applyFont="1" applyFill="1" applyBorder="1" applyAlignment="1">
      <alignment horizontal="right" vertical="center" wrapText="1"/>
    </xf>
    <xf numFmtId="0" fontId="34" fillId="0" borderId="20" xfId="0" applyFont="1" applyFill="1" applyBorder="1" applyAlignment="1">
      <alignment horizontal="justify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5" borderId="20" xfId="0" applyFont="1" applyFill="1" applyBorder="1" applyAlignment="1">
      <alignment horizontal="center" vertical="center" wrapText="1"/>
    </xf>
    <xf numFmtId="0" fontId="35" fillId="5" borderId="20" xfId="0" applyFont="1" applyFill="1" applyBorder="1" applyAlignment="1">
      <alignment horizontal="right" vertical="center" wrapText="1"/>
    </xf>
    <xf numFmtId="4" fontId="15" fillId="5" borderId="20" xfId="0" applyNumberFormat="1" applyFont="1" applyFill="1" applyBorder="1" applyAlignment="1">
      <alignment horizontal="right" vertical="center" wrapText="1"/>
    </xf>
    <xf numFmtId="10" fontId="14" fillId="5" borderId="51" xfId="0" applyNumberFormat="1" applyFont="1" applyFill="1" applyBorder="1" applyAlignment="1">
      <alignment horizontal="right" vertical="center" wrapText="1"/>
    </xf>
    <xf numFmtId="0" fontId="15" fillId="0" borderId="20" xfId="0" applyFont="1" applyFill="1" applyBorder="1" applyAlignment="1">
      <alignment vertical="center" wrapText="1"/>
    </xf>
    <xf numFmtId="4" fontId="15" fillId="0" borderId="20" xfId="0" applyNumberFormat="1" applyFont="1" applyFill="1" applyBorder="1" applyAlignment="1">
      <alignment horizontal="right" vertical="center" wrapText="1"/>
    </xf>
    <xf numFmtId="4" fontId="14" fillId="0" borderId="20" xfId="0" applyNumberFormat="1" applyFont="1" applyFill="1" applyBorder="1" applyAlignment="1">
      <alignment horizontal="righ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justify" vertical="center" wrapText="1"/>
    </xf>
    <xf numFmtId="2" fontId="14" fillId="3" borderId="20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right" vertical="center" wrapText="1"/>
    </xf>
    <xf numFmtId="2" fontId="15" fillId="3" borderId="20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right" vertical="center" wrapText="1"/>
    </xf>
    <xf numFmtId="164" fontId="15" fillId="3" borderId="20" xfId="7" applyFont="1" applyFill="1" applyBorder="1" applyAlignment="1">
      <alignment horizontal="right" vertical="center" wrapText="1"/>
    </xf>
    <xf numFmtId="4" fontId="14" fillId="0" borderId="20" xfId="0" applyNumberFormat="1" applyFont="1" applyFill="1" applyBorder="1" applyAlignment="1">
      <alignment vertical="center" wrapText="1"/>
    </xf>
    <xf numFmtId="43" fontId="12" fillId="0" borderId="53" xfId="0" applyNumberFormat="1" applyFont="1" applyFill="1" applyBorder="1" applyAlignment="1">
      <alignment vertical="center"/>
    </xf>
    <xf numFmtId="168" fontId="12" fillId="0" borderId="54" xfId="0" applyNumberFormat="1" applyFont="1" applyFill="1" applyBorder="1" applyAlignment="1">
      <alignment horizontal="right" vertical="center"/>
    </xf>
    <xf numFmtId="10" fontId="14" fillId="0" borderId="54" xfId="0" applyNumberFormat="1" applyFont="1" applyFill="1" applyBorder="1" applyAlignment="1">
      <alignment vertical="center"/>
    </xf>
    <xf numFmtId="177" fontId="5" fillId="3" borderId="51" xfId="2" applyNumberFormat="1" applyFill="1" applyBorder="1" applyAlignment="1">
      <alignment vertical="center"/>
    </xf>
    <xf numFmtId="179" fontId="5" fillId="3" borderId="51" xfId="8" applyNumberFormat="1" applyFont="1" applyFill="1" applyBorder="1" applyAlignment="1">
      <alignment vertical="center"/>
    </xf>
    <xf numFmtId="177" fontId="56" fillId="3" borderId="51" xfId="2" applyNumberFormat="1" applyFont="1" applyFill="1" applyBorder="1" applyAlignment="1">
      <alignment horizontal="center" vertical="center"/>
    </xf>
    <xf numFmtId="0" fontId="5" fillId="3" borderId="2" xfId="2" applyFill="1" applyBorder="1" applyAlignment="1">
      <alignment vertical="center"/>
    </xf>
    <xf numFmtId="180" fontId="19" fillId="3" borderId="24" xfId="2" applyNumberFormat="1" applyFont="1" applyFill="1" applyBorder="1" applyAlignment="1">
      <alignment vertical="center"/>
    </xf>
    <xf numFmtId="180" fontId="19" fillId="3" borderId="2" xfId="2" applyNumberFormat="1" applyFont="1" applyFill="1" applyBorder="1" applyAlignment="1">
      <alignment vertical="center"/>
    </xf>
    <xf numFmtId="2" fontId="5" fillId="3" borderId="2" xfId="2" applyNumberFormat="1" applyFill="1" applyBorder="1" applyAlignment="1">
      <alignment vertical="center"/>
    </xf>
    <xf numFmtId="177" fontId="5" fillId="3" borderId="2" xfId="2" applyNumberFormat="1" applyFill="1" applyBorder="1" applyAlignment="1">
      <alignment vertical="center"/>
    </xf>
    <xf numFmtId="3" fontId="16" fillId="0" borderId="50" xfId="2" applyNumberFormat="1" applyFont="1" applyFill="1" applyBorder="1" applyAlignment="1">
      <alignment horizontal="center" vertical="center"/>
    </xf>
    <xf numFmtId="4" fontId="16" fillId="0" borderId="20" xfId="2" applyNumberFormat="1" applyFont="1" applyFill="1" applyBorder="1" applyAlignment="1">
      <alignment horizontal="left" vertical="center"/>
    </xf>
    <xf numFmtId="4" fontId="16" fillId="0" borderId="20" xfId="2" applyNumberFormat="1" applyFont="1" applyBorder="1" applyAlignment="1">
      <alignment horizontal="center" vertical="center"/>
    </xf>
    <xf numFmtId="4" fontId="16" fillId="0" borderId="20" xfId="2" applyNumberFormat="1" applyFont="1" applyFill="1" applyBorder="1" applyAlignment="1">
      <alignment horizontal="center" vertical="center"/>
    </xf>
    <xf numFmtId="4" fontId="16" fillId="0" borderId="20" xfId="2" applyNumberFormat="1" applyFont="1" applyFill="1" applyBorder="1" applyAlignment="1">
      <alignment horizontal="right" vertical="center"/>
    </xf>
    <xf numFmtId="4" fontId="16" fillId="0" borderId="51" xfId="2" applyNumberFormat="1" applyFont="1" applyFill="1" applyBorder="1" applyAlignment="1">
      <alignment horizontal="right" vertical="center"/>
    </xf>
    <xf numFmtId="4" fontId="25" fillId="0" borderId="53" xfId="2" applyNumberFormat="1" applyFont="1" applyBorder="1" applyAlignment="1">
      <alignment horizontal="center" vertical="center"/>
    </xf>
    <xf numFmtId="4" fontId="25" fillId="0" borderId="53" xfId="2" applyNumberFormat="1" applyFont="1" applyBorder="1" applyAlignment="1">
      <alignment vertical="center"/>
    </xf>
    <xf numFmtId="0" fontId="5" fillId="0" borderId="53" xfId="2" applyFont="1" applyBorder="1" applyAlignment="1">
      <alignment vertical="center"/>
    </xf>
    <xf numFmtId="4" fontId="25" fillId="0" borderId="54" xfId="2" applyNumberFormat="1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4" fontId="14" fillId="0" borderId="20" xfId="2" applyNumberFormat="1" applyFont="1" applyBorder="1" applyAlignment="1">
      <alignment horizontal="center" vertical="center"/>
    </xf>
    <xf numFmtId="4" fontId="14" fillId="3" borderId="20" xfId="2" applyNumberFormat="1" applyFont="1" applyFill="1" applyBorder="1" applyAlignment="1">
      <alignment horizontal="center" vertical="center"/>
    </xf>
    <xf numFmtId="4" fontId="15" fillId="0" borderId="20" xfId="2" applyNumberFormat="1" applyFont="1" applyBorder="1" applyAlignment="1">
      <alignment horizontal="center" vertical="center"/>
    </xf>
    <xf numFmtId="169" fontId="14" fillId="0" borderId="20" xfId="2" applyNumberFormat="1" applyFont="1" applyBorder="1" applyAlignment="1">
      <alignment horizontal="center" vertical="center"/>
    </xf>
    <xf numFmtId="4" fontId="15" fillId="0" borderId="51" xfId="2" applyNumberFormat="1" applyFont="1" applyBorder="1" applyAlignment="1">
      <alignment horizontal="center" vertical="center"/>
    </xf>
    <xf numFmtId="0" fontId="14" fillId="0" borderId="50" xfId="2" applyFont="1" applyFill="1" applyBorder="1" applyAlignment="1">
      <alignment horizontal="center" vertical="center"/>
    </xf>
    <xf numFmtId="2" fontId="14" fillId="0" borderId="20" xfId="2" applyNumberFormat="1" applyFont="1" applyFill="1" applyBorder="1" applyAlignment="1">
      <alignment horizontal="right" vertical="center"/>
    </xf>
    <xf numFmtId="164" fontId="14" fillId="0" borderId="20" xfId="8" applyFont="1" applyFill="1" applyBorder="1" applyAlignment="1">
      <alignment horizontal="right" vertical="center" wrapText="1"/>
    </xf>
    <xf numFmtId="0" fontId="16" fillId="0" borderId="20" xfId="2" applyFont="1" applyFill="1" applyBorder="1" applyAlignment="1">
      <alignment horizontal="center" vertical="center"/>
    </xf>
    <xf numFmtId="164" fontId="14" fillId="0" borderId="51" xfId="8" applyFont="1" applyFill="1" applyBorder="1" applyAlignment="1">
      <alignment horizontal="center" vertical="center"/>
    </xf>
    <xf numFmtId="4" fontId="25" fillId="0" borderId="54" xfId="2" applyNumberFormat="1" applyFont="1" applyBorder="1" applyAlignment="1">
      <alignment vertical="center"/>
    </xf>
    <xf numFmtId="0" fontId="5" fillId="0" borderId="0" xfId="2" applyFill="1" applyAlignment="1">
      <alignment vertical="center"/>
    </xf>
    <xf numFmtId="4" fontId="5" fillId="0" borderId="0" xfId="2" applyNumberFormat="1" applyFill="1" applyAlignment="1">
      <alignment vertical="center"/>
    </xf>
    <xf numFmtId="0" fontId="16" fillId="0" borderId="0" xfId="2" applyFont="1" applyAlignment="1">
      <alignment vertical="center"/>
    </xf>
    <xf numFmtId="4" fontId="34" fillId="0" borderId="51" xfId="2" applyNumberFormat="1" applyFont="1" applyFill="1" applyBorder="1" applyAlignment="1">
      <alignment horizontal="right" vertical="center"/>
    </xf>
    <xf numFmtId="0" fontId="15" fillId="7" borderId="55" xfId="0" applyFont="1" applyFill="1" applyBorder="1" applyAlignment="1">
      <alignment horizontal="center" vertical="center" wrapText="1"/>
    </xf>
    <xf numFmtId="166" fontId="35" fillId="7" borderId="56" xfId="0" applyNumberFormat="1" applyFont="1" applyFill="1" applyBorder="1" applyAlignment="1">
      <alignment horizontal="center" vertical="center" wrapText="1"/>
    </xf>
    <xf numFmtId="0" fontId="35" fillId="7" borderId="56" xfId="0" applyFont="1" applyFill="1" applyBorder="1" applyAlignment="1">
      <alignment horizontal="center" vertical="center" wrapText="1"/>
    </xf>
    <xf numFmtId="0" fontId="35" fillId="7" borderId="57" xfId="0" applyFont="1" applyFill="1" applyBorder="1" applyAlignment="1">
      <alignment horizontal="center" vertical="center" wrapText="1"/>
    </xf>
    <xf numFmtId="0" fontId="35" fillId="5" borderId="51" xfId="0" applyFont="1" applyFill="1" applyBorder="1" applyAlignment="1">
      <alignment horizontal="center" vertical="center" wrapText="1"/>
    </xf>
    <xf numFmtId="164" fontId="14" fillId="0" borderId="51" xfId="7" quotePrefix="1" applyFont="1" applyFill="1" applyBorder="1" applyAlignment="1">
      <alignment horizontal="center" vertical="center"/>
    </xf>
    <xf numFmtId="4" fontId="34" fillId="0" borderId="20" xfId="0" applyNumberFormat="1" applyFont="1" applyFill="1" applyBorder="1" applyAlignment="1">
      <alignment horizontal="center" vertical="center" wrapText="1"/>
    </xf>
    <xf numFmtId="4" fontId="35" fillId="0" borderId="20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Fill="1" applyBorder="1" applyAlignment="1">
      <alignment horizontal="center" vertical="center" wrapText="1"/>
    </xf>
    <xf numFmtId="2" fontId="34" fillId="3" borderId="20" xfId="2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center" vertical="center" wrapText="1"/>
    </xf>
    <xf numFmtId="4" fontId="34" fillId="3" borderId="2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1" xfId="0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164" fontId="0" fillId="0" borderId="20" xfId="7" applyFont="1" applyBorder="1" applyAlignment="1">
      <alignment vertical="center"/>
    </xf>
    <xf numFmtId="10" fontId="0" fillId="0" borderId="51" xfId="0" applyNumberFormat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52" xfId="0" applyBorder="1" applyAlignment="1">
      <alignment horizontal="center" vertical="center"/>
    </xf>
    <xf numFmtId="164" fontId="7" fillId="0" borderId="53" xfId="7" applyFont="1" applyBorder="1" applyAlignment="1">
      <alignment vertical="center"/>
    </xf>
    <xf numFmtId="168" fontId="7" fillId="0" borderId="54" xfId="0" applyNumberFormat="1" applyFont="1" applyBorder="1" applyAlignment="1">
      <alignment vertical="center"/>
    </xf>
    <xf numFmtId="164" fontId="11" fillId="0" borderId="20" xfId="8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11" fillId="0" borderId="51" xfId="0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6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5" fillId="0" borderId="51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4" fontId="5" fillId="0" borderId="20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0" fontId="6" fillId="0" borderId="20" xfId="6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vertical="center"/>
    </xf>
    <xf numFmtId="168" fontId="7" fillId="0" borderId="20" xfId="6" applyNumberFormat="1" applyFont="1" applyFill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168" fontId="7" fillId="0" borderId="51" xfId="6" applyNumberFormat="1" applyFont="1" applyBorder="1" applyAlignment="1">
      <alignment horizontal="center" vertical="center"/>
    </xf>
    <xf numFmtId="164" fontId="46" fillId="0" borderId="53" xfId="0" applyNumberFormat="1" applyFont="1" applyFill="1" applyBorder="1" applyAlignment="1">
      <alignment vertical="center"/>
    </xf>
    <xf numFmtId="168" fontId="7" fillId="0" borderId="53" xfId="6" applyNumberFormat="1" applyFont="1" applyBorder="1" applyAlignment="1">
      <alignment horizontal="center" vertical="center"/>
    </xf>
    <xf numFmtId="4" fontId="7" fillId="0" borderId="53" xfId="0" applyNumberFormat="1" applyFont="1" applyBorder="1" applyAlignment="1">
      <alignment vertical="center"/>
    </xf>
    <xf numFmtId="168" fontId="7" fillId="0" borderId="54" xfId="6" applyNumberFormat="1" applyFont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4" fontId="15" fillId="0" borderId="51" xfId="0" applyNumberFormat="1" applyFont="1" applyFill="1" applyBorder="1" applyAlignment="1">
      <alignment horizontal="right" vertical="center"/>
    </xf>
    <xf numFmtId="4" fontId="14" fillId="0" borderId="51" xfId="0" applyNumberFormat="1" applyFont="1" applyFill="1" applyBorder="1" applyAlignment="1">
      <alignment vertical="center"/>
    </xf>
    <xf numFmtId="172" fontId="5" fillId="0" borderId="0" xfId="0" applyNumberFormat="1" applyFont="1" applyAlignment="1">
      <alignment vertical="center"/>
    </xf>
    <xf numFmtId="4" fontId="15" fillId="0" borderId="20" xfId="0" applyNumberFormat="1" applyFont="1" applyFill="1" applyBorder="1" applyAlignment="1">
      <alignment vertical="center"/>
    </xf>
    <xf numFmtId="4" fontId="15" fillId="0" borderId="20" xfId="0" applyNumberFormat="1" applyFont="1" applyFill="1" applyBorder="1" applyAlignment="1">
      <alignment horizontal="right" vertical="center"/>
    </xf>
    <xf numFmtId="4" fontId="15" fillId="0" borderId="51" xfId="0" applyNumberFormat="1" applyFont="1" applyFill="1" applyBorder="1" applyAlignment="1">
      <alignment vertical="center"/>
    </xf>
    <xf numFmtId="4" fontId="14" fillId="0" borderId="54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4" fontId="14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50" xfId="2" applyFont="1" applyFill="1" applyBorder="1" applyAlignment="1">
      <alignment vertical="center"/>
    </xf>
    <xf numFmtId="0" fontId="8" fillId="0" borderId="52" xfId="2" applyFont="1" applyFill="1" applyBorder="1" applyAlignment="1">
      <alignment vertical="center"/>
    </xf>
    <xf numFmtId="0" fontId="8" fillId="0" borderId="20" xfId="2" applyFont="1" applyFill="1" applyBorder="1" applyAlignment="1">
      <alignment vertical="center"/>
    </xf>
    <xf numFmtId="10" fontId="43" fillId="0" borderId="51" xfId="2" applyNumberFormat="1" applyFont="1" applyFill="1" applyBorder="1" applyAlignment="1">
      <alignment vertical="center"/>
    </xf>
    <xf numFmtId="4" fontId="8" fillId="0" borderId="53" xfId="2" applyNumberFormat="1" applyFont="1" applyFill="1" applyBorder="1" applyAlignment="1">
      <alignment horizontal="left" vertical="center"/>
    </xf>
    <xf numFmtId="0" fontId="15" fillId="0" borderId="20" xfId="2" applyFont="1" applyBorder="1" applyAlignment="1">
      <alignment horizontal="center" vertical="center" wrapText="1"/>
    </xf>
    <xf numFmtId="4" fontId="14" fillId="3" borderId="51" xfId="8" applyNumberFormat="1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4" fontId="14" fillId="0" borderId="20" xfId="2" applyNumberFormat="1" applyFont="1" applyFill="1" applyBorder="1" applyAlignment="1">
      <alignment horizontal="left" vertical="center"/>
    </xf>
    <xf numFmtId="4" fontId="14" fillId="0" borderId="20" xfId="0" applyNumberFormat="1" applyFont="1" applyBorder="1" applyAlignment="1">
      <alignment horizontal="center" vertical="center"/>
    </xf>
    <xf numFmtId="164" fontId="14" fillId="3" borderId="20" xfId="8" applyFont="1" applyFill="1" applyBorder="1" applyAlignment="1">
      <alignment horizontal="center" vertical="center"/>
    </xf>
    <xf numFmtId="164" fontId="14" fillId="0" borderId="51" xfId="8" applyFont="1" applyFill="1" applyBorder="1" applyAlignment="1">
      <alignment horizontal="center" vertical="center"/>
    </xf>
    <xf numFmtId="4" fontId="15" fillId="0" borderId="53" xfId="2" applyNumberFormat="1" applyFont="1" applyFill="1" applyBorder="1" applyAlignment="1">
      <alignment horizontal="center" vertical="center"/>
    </xf>
    <xf numFmtId="0" fontId="14" fillId="0" borderId="50" xfId="2" applyFont="1" applyFill="1" applyBorder="1" applyAlignment="1">
      <alignment horizontal="center" vertical="center"/>
    </xf>
    <xf numFmtId="2" fontId="14" fillId="0" borderId="20" xfId="2" applyNumberFormat="1" applyFont="1" applyFill="1" applyBorder="1" applyAlignment="1">
      <alignment horizontal="right" vertical="center"/>
    </xf>
    <xf numFmtId="2" fontId="14" fillId="0" borderId="20" xfId="2" applyNumberFormat="1" applyFont="1" applyFill="1" applyBorder="1" applyAlignment="1">
      <alignment horizontal="center" vertical="center"/>
    </xf>
    <xf numFmtId="164" fontId="14" fillId="0" borderId="20" xfId="8" applyFont="1" applyFill="1" applyBorder="1" applyAlignment="1">
      <alignment horizontal="center" vertical="center" wrapText="1"/>
    </xf>
    <xf numFmtId="4" fontId="34" fillId="0" borderId="51" xfId="2" applyNumberFormat="1" applyFont="1" applyFill="1" applyBorder="1" applyAlignment="1">
      <alignment horizontal="right" vertical="center"/>
    </xf>
    <xf numFmtId="0" fontId="15" fillId="0" borderId="51" xfId="2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 wrapText="1"/>
    </xf>
    <xf numFmtId="0" fontId="5" fillId="0" borderId="0" xfId="2" applyFill="1" applyAlignment="1">
      <alignment horizontal="center" vertical="center" wrapText="1"/>
    </xf>
    <xf numFmtId="4" fontId="34" fillId="0" borderId="20" xfId="2" applyNumberFormat="1" applyFont="1" applyFill="1" applyBorder="1" applyAlignment="1">
      <alignment horizontal="right" vertical="center"/>
    </xf>
    <xf numFmtId="169" fontId="14" fillId="0" borderId="53" xfId="2" applyNumberFormat="1" applyFont="1" applyFill="1" applyBorder="1" applyAlignment="1">
      <alignment horizontal="center" vertical="center"/>
    </xf>
    <xf numFmtId="0" fontId="15" fillId="0" borderId="50" xfId="2" applyFont="1" applyFill="1" applyBorder="1" applyAlignment="1">
      <alignment horizontal="center" vertical="center" wrapText="1"/>
    </xf>
    <xf numFmtId="0" fontId="14" fillId="0" borderId="52" xfId="2" applyFont="1" applyFill="1" applyBorder="1" applyAlignment="1">
      <alignment horizontal="center" vertical="center"/>
    </xf>
    <xf numFmtId="2" fontId="14" fillId="0" borderId="50" xfId="2" applyNumberFormat="1" applyFont="1" applyFill="1" applyBorder="1" applyAlignment="1">
      <alignment horizontal="center" vertical="center"/>
    </xf>
    <xf numFmtId="169" fontId="14" fillId="0" borderId="51" xfId="2" applyNumberFormat="1" applyFont="1" applyFill="1" applyBorder="1" applyAlignment="1">
      <alignment horizontal="center" vertical="center"/>
    </xf>
    <xf numFmtId="4" fontId="15" fillId="0" borderId="52" xfId="2" applyNumberFormat="1" applyFont="1" applyFill="1" applyBorder="1" applyAlignment="1">
      <alignment horizontal="center" vertical="center"/>
    </xf>
    <xf numFmtId="2" fontId="34" fillId="0" borderId="50" xfId="2" applyNumberFormat="1" applyFont="1" applyFill="1" applyBorder="1" applyAlignment="1">
      <alignment horizontal="center" vertical="center"/>
    </xf>
    <xf numFmtId="4" fontId="14" fillId="0" borderId="51" xfId="2" applyNumberFormat="1" applyFont="1" applyFill="1" applyBorder="1" applyAlignment="1">
      <alignment horizontal="left" vertical="center"/>
    </xf>
    <xf numFmtId="0" fontId="14" fillId="0" borderId="120" xfId="2" quotePrefix="1" applyFont="1" applyFill="1" applyBorder="1" applyAlignment="1">
      <alignment horizontal="center" vertical="center"/>
    </xf>
    <xf numFmtId="4" fontId="14" fillId="0" borderId="64" xfId="2" applyNumberFormat="1" applyFont="1" applyFill="1" applyBorder="1" applyAlignment="1">
      <alignment horizontal="left" vertical="center"/>
    </xf>
    <xf numFmtId="2" fontId="14" fillId="0" borderId="120" xfId="2" applyNumberFormat="1" applyFont="1" applyFill="1" applyBorder="1" applyAlignment="1">
      <alignment horizontal="center" vertical="center"/>
    </xf>
    <xf numFmtId="169" fontId="14" fillId="0" borderId="91" xfId="2" applyNumberFormat="1" applyFont="1" applyFill="1" applyBorder="1" applyAlignment="1">
      <alignment horizontal="center" vertical="center"/>
    </xf>
    <xf numFmtId="169" fontId="14" fillId="0" borderId="64" xfId="2" applyNumberFormat="1" applyFont="1" applyFill="1" applyBorder="1" applyAlignment="1">
      <alignment horizontal="center" vertical="center"/>
    </xf>
    <xf numFmtId="0" fontId="14" fillId="0" borderId="120" xfId="2" applyFont="1" applyFill="1" applyBorder="1" applyAlignment="1">
      <alignment horizontal="center" vertical="center"/>
    </xf>
    <xf numFmtId="2" fontId="34" fillId="0" borderId="64" xfId="2" applyNumberFormat="1" applyFont="1" applyFill="1" applyBorder="1" applyAlignment="1">
      <alignment horizontal="center" vertical="center"/>
    </xf>
    <xf numFmtId="2" fontId="34" fillId="0" borderId="120" xfId="2" applyNumberFormat="1" applyFont="1" applyFill="1" applyBorder="1" applyAlignment="1">
      <alignment horizontal="center" vertical="center"/>
    </xf>
    <xf numFmtId="2" fontId="34" fillId="0" borderId="91" xfId="2" applyNumberFormat="1" applyFont="1" applyFill="1" applyBorder="1" applyAlignment="1">
      <alignment horizontal="center" vertical="center"/>
    </xf>
    <xf numFmtId="183" fontId="43" fillId="3" borderId="69" xfId="1" applyNumberFormat="1" applyFont="1" applyFill="1" applyBorder="1" applyAlignment="1">
      <alignment vertical="center"/>
    </xf>
    <xf numFmtId="4" fontId="14" fillId="0" borderId="53" xfId="2" applyNumberFormat="1" applyFont="1" applyFill="1" applyBorder="1" applyAlignment="1">
      <alignment vertical="center"/>
    </xf>
    <xf numFmtId="0" fontId="14" fillId="0" borderId="53" xfId="2" applyFont="1" applyFill="1" applyBorder="1" applyAlignment="1">
      <alignment vertical="center"/>
    </xf>
    <xf numFmtId="0" fontId="16" fillId="0" borderId="69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34" fillId="0" borderId="20" xfId="0" applyFont="1" applyFill="1" applyBorder="1" applyAlignment="1">
      <alignment horizontal="justify" vertical="center"/>
    </xf>
    <xf numFmtId="0" fontId="34" fillId="0" borderId="20" xfId="0" applyFont="1" applyFill="1" applyBorder="1" applyAlignment="1">
      <alignment horizontal="center" vertical="center"/>
    </xf>
    <xf numFmtId="4" fontId="34" fillId="0" borderId="20" xfId="0" applyNumberFormat="1" applyFont="1" applyFill="1" applyBorder="1" applyAlignment="1">
      <alignment horizontal="center" vertical="center"/>
    </xf>
    <xf numFmtId="4" fontId="34" fillId="3" borderId="20" xfId="0" applyNumberFormat="1" applyFont="1" applyFill="1" applyBorder="1" applyAlignment="1">
      <alignment horizontal="center" vertical="center"/>
    </xf>
    <xf numFmtId="184" fontId="34" fillId="3" borderId="51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justify" vertical="center"/>
    </xf>
    <xf numFmtId="4" fontId="14" fillId="0" borderId="20" xfId="0" applyNumberFormat="1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justify" vertical="center"/>
    </xf>
    <xf numFmtId="0" fontId="34" fillId="3" borderId="20" xfId="0" applyFont="1" applyFill="1" applyBorder="1" applyAlignment="1">
      <alignment horizontal="center" vertical="center"/>
    </xf>
    <xf numFmtId="0" fontId="35" fillId="0" borderId="50" xfId="0" applyFont="1" applyFill="1" applyBorder="1" applyAlignment="1">
      <alignment horizontal="center" vertical="center"/>
    </xf>
    <xf numFmtId="2" fontId="34" fillId="0" borderId="50" xfId="0" applyNumberFormat="1" applyFont="1" applyFill="1" applyBorder="1" applyAlignment="1">
      <alignment horizontal="center" vertical="center"/>
    </xf>
    <xf numFmtId="4" fontId="15" fillId="3" borderId="20" xfId="0" applyNumberFormat="1" applyFont="1" applyFill="1" applyBorder="1" applyAlignment="1">
      <alignment horizontal="center" vertical="center"/>
    </xf>
    <xf numFmtId="4" fontId="15" fillId="3" borderId="20" xfId="0" applyNumberFormat="1" applyFont="1" applyFill="1" applyBorder="1" applyAlignment="1">
      <alignment horizontal="center" vertical="center" wrapText="1"/>
    </xf>
    <xf numFmtId="4" fontId="15" fillId="3" borderId="51" xfId="0" applyNumberFormat="1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justify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vertical="center"/>
    </xf>
    <xf numFmtId="4" fontId="34" fillId="3" borderId="51" xfId="0" applyNumberFormat="1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4" fontId="14" fillId="3" borderId="20" xfId="0" applyNumberFormat="1" applyFont="1" applyFill="1" applyBorder="1" applyAlignment="1">
      <alignment horizontal="center" vertical="center"/>
    </xf>
    <xf numFmtId="4" fontId="14" fillId="3" borderId="51" xfId="0" applyNumberFormat="1" applyFont="1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4" fontId="34" fillId="0" borderId="20" xfId="0" applyNumberFormat="1" applyFont="1" applyBorder="1" applyAlignment="1">
      <alignment horizontal="center" vertical="center" wrapText="1"/>
    </xf>
    <xf numFmtId="170" fontId="14" fillId="0" borderId="20" xfId="0" applyNumberFormat="1" applyFont="1" applyBorder="1" applyAlignment="1">
      <alignment horizontal="center" vertical="center"/>
    </xf>
    <xf numFmtId="184" fontId="34" fillId="3" borderId="20" xfId="0" applyNumberFormat="1" applyFont="1" applyFill="1" applyBorder="1" applyAlignment="1">
      <alignment horizontal="center" vertical="center"/>
    </xf>
    <xf numFmtId="4" fontId="34" fillId="0" borderId="20" xfId="0" applyNumberFormat="1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20" xfId="0" applyFont="1" applyBorder="1" applyAlignment="1">
      <alignment horizontal="justify" vertical="center"/>
    </xf>
    <xf numFmtId="0" fontId="34" fillId="3" borderId="20" xfId="0" applyFont="1" applyFill="1" applyBorder="1" applyAlignment="1">
      <alignment vertical="center"/>
    </xf>
    <xf numFmtId="2" fontId="34" fillId="3" borderId="20" xfId="0" applyNumberFormat="1" applyFont="1" applyFill="1" applyBorder="1" applyAlignment="1">
      <alignment vertical="center"/>
    </xf>
    <xf numFmtId="4" fontId="34" fillId="0" borderId="51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4" fontId="34" fillId="0" borderId="20" xfId="0" applyNumberFormat="1" applyFont="1" applyFill="1" applyBorder="1" applyAlignment="1">
      <alignment horizontal="center" vertical="center"/>
    </xf>
    <xf numFmtId="0" fontId="34" fillId="0" borderId="52" xfId="0" applyFont="1" applyFill="1" applyBorder="1" applyAlignment="1">
      <alignment horizontal="center" vertical="center"/>
    </xf>
    <xf numFmtId="0" fontId="34" fillId="3" borderId="53" xfId="0" applyFont="1" applyFill="1" applyBorder="1" applyAlignment="1">
      <alignment horizontal="justify" vertical="center"/>
    </xf>
    <xf numFmtId="0" fontId="34" fillId="3" borderId="53" xfId="0" applyFont="1" applyFill="1" applyBorder="1" applyAlignment="1">
      <alignment horizontal="center" vertical="center"/>
    </xf>
    <xf numFmtId="4" fontId="34" fillId="0" borderId="53" xfId="0" applyNumberFormat="1" applyFont="1" applyFill="1" applyBorder="1" applyAlignment="1">
      <alignment horizontal="center" vertical="center"/>
    </xf>
    <xf numFmtId="4" fontId="34" fillId="3" borderId="53" xfId="0" applyNumberFormat="1" applyFont="1" applyFill="1" applyBorder="1" applyAlignment="1">
      <alignment horizontal="center" vertical="center"/>
    </xf>
    <xf numFmtId="4" fontId="34" fillId="3" borderId="54" xfId="0" applyNumberFormat="1" applyFont="1" applyFill="1" applyBorder="1" applyAlignment="1">
      <alignment horizontal="center" vertical="center"/>
    </xf>
    <xf numFmtId="178" fontId="34" fillId="0" borderId="20" xfId="2" applyNumberFormat="1" applyFont="1" applyFill="1" applyBorder="1" applyAlignment="1">
      <alignment horizontal="center" vertical="center"/>
    </xf>
    <xf numFmtId="164" fontId="5" fillId="0" borderId="51" xfId="7" applyFont="1" applyFill="1" applyBorder="1" applyAlignment="1">
      <alignment vertical="center"/>
    </xf>
    <xf numFmtId="0" fontId="5" fillId="0" borderId="51" xfId="2" applyFill="1" applyBorder="1" applyAlignment="1">
      <alignment vertical="center"/>
    </xf>
    <xf numFmtId="0" fontId="5" fillId="0" borderId="0" xfId="2" applyAlignment="1">
      <alignment vertical="center" wrapText="1"/>
    </xf>
    <xf numFmtId="0" fontId="5" fillId="0" borderId="0" xfId="2" applyFill="1" applyAlignment="1">
      <alignment vertical="center" wrapText="1"/>
    </xf>
    <xf numFmtId="177" fontId="6" fillId="3" borderId="60" xfId="2" applyNumberFormat="1" applyFont="1" applyFill="1" applyBorder="1" applyAlignment="1">
      <alignment vertical="center"/>
    </xf>
    <xf numFmtId="177" fontId="6" fillId="3" borderId="57" xfId="2" applyNumberFormat="1" applyFont="1" applyFill="1" applyBorder="1" applyAlignment="1">
      <alignment vertical="center"/>
    </xf>
    <xf numFmtId="177" fontId="6" fillId="3" borderId="51" xfId="2" applyNumberFormat="1" applyFont="1" applyFill="1" applyBorder="1" applyAlignment="1">
      <alignment vertical="center"/>
    </xf>
    <xf numFmtId="177" fontId="6" fillId="3" borderId="54" xfId="2" applyNumberFormat="1" applyFont="1" applyFill="1" applyBorder="1" applyAlignment="1">
      <alignment vertical="center"/>
    </xf>
    <xf numFmtId="4" fontId="5" fillId="3" borderId="0" xfId="2" applyNumberFormat="1" applyFill="1" applyAlignment="1">
      <alignment vertical="center"/>
    </xf>
    <xf numFmtId="43" fontId="5" fillId="0" borderId="0" xfId="2" applyNumberFormat="1" applyAlignment="1">
      <alignment vertical="center"/>
    </xf>
    <xf numFmtId="164" fontId="35" fillId="5" borderId="51" xfId="7" applyFont="1" applyFill="1" applyBorder="1" applyAlignment="1">
      <alignment horizontal="right" vertical="center" wrapText="1"/>
    </xf>
    <xf numFmtId="164" fontId="35" fillId="0" borderId="51" xfId="7" applyFont="1" applyFill="1" applyBorder="1" applyAlignment="1">
      <alignment horizontal="right" vertical="center" wrapText="1"/>
    </xf>
    <xf numFmtId="164" fontId="34" fillId="0" borderId="51" xfId="7" applyFont="1" applyFill="1" applyBorder="1" applyAlignment="1">
      <alignment horizontal="center" vertical="center" wrapText="1"/>
    </xf>
    <xf numFmtId="164" fontId="35" fillId="0" borderId="51" xfId="7" applyFont="1" applyFill="1" applyBorder="1" applyAlignment="1">
      <alignment horizontal="center" vertical="center" wrapText="1"/>
    </xf>
    <xf numFmtId="164" fontId="15" fillId="0" borderId="51" xfId="7" applyFont="1" applyFill="1" applyBorder="1" applyAlignment="1">
      <alignment vertical="center" wrapText="1"/>
    </xf>
    <xf numFmtId="164" fontId="14" fillId="0" borderId="51" xfId="7" applyFont="1" applyFill="1" applyBorder="1" applyAlignment="1">
      <alignment horizontal="right" vertical="center" wrapText="1"/>
    </xf>
    <xf numFmtId="164" fontId="14" fillId="3" borderId="51" xfId="7" applyFont="1" applyFill="1" applyBorder="1" applyAlignment="1">
      <alignment horizontal="right" vertical="center" wrapText="1"/>
    </xf>
    <xf numFmtId="164" fontId="34" fillId="0" borderId="51" xfId="7" applyFont="1" applyFill="1" applyBorder="1" applyAlignment="1">
      <alignment horizontal="right" vertical="center" wrapText="1"/>
    </xf>
    <xf numFmtId="164" fontId="34" fillId="3" borderId="51" xfId="7" applyFont="1" applyFill="1" applyBorder="1" applyAlignment="1">
      <alignment horizontal="right" vertical="center" wrapText="1"/>
    </xf>
    <xf numFmtId="10" fontId="34" fillId="0" borderId="53" xfId="2" applyNumberFormat="1" applyFont="1" applyFill="1" applyBorder="1" applyAlignment="1">
      <alignment horizontal="center" vertical="center"/>
    </xf>
    <xf numFmtId="0" fontId="14" fillId="0" borderId="20" xfId="0" quotePrefix="1" applyFont="1" applyFill="1" applyBorder="1" applyAlignment="1">
      <alignment horizontal="center" vertical="center" wrapText="1"/>
    </xf>
    <xf numFmtId="4" fontId="14" fillId="0" borderId="20" xfId="2" applyNumberFormat="1" applyFont="1" applyFill="1" applyBorder="1" applyAlignment="1">
      <alignment horizontal="center" vertical="center" wrapText="1"/>
    </xf>
    <xf numFmtId="2" fontId="14" fillId="0" borderId="51" xfId="2" applyNumberFormat="1" applyFont="1" applyFill="1" applyBorder="1" applyAlignment="1">
      <alignment horizontal="center" vertical="center" wrapText="1"/>
    </xf>
    <xf numFmtId="0" fontId="14" fillId="0" borderId="53" xfId="2" applyFont="1" applyFill="1" applyBorder="1" applyAlignment="1">
      <alignment horizontal="left" vertical="center"/>
    </xf>
    <xf numFmtId="2" fontId="14" fillId="0" borderId="53" xfId="2" applyNumberFormat="1" applyFont="1" applyFill="1" applyBorder="1" applyAlignment="1">
      <alignment horizontal="right" vertical="center"/>
    </xf>
    <xf numFmtId="2" fontId="14" fillId="0" borderId="53" xfId="2" applyNumberFormat="1" applyFont="1" applyFill="1" applyBorder="1" applyAlignment="1">
      <alignment horizontal="center" vertical="center"/>
    </xf>
    <xf numFmtId="164" fontId="14" fillId="0" borderId="53" xfId="8" applyFont="1" applyFill="1" applyBorder="1" applyAlignment="1">
      <alignment horizontal="right" vertical="center" wrapText="1"/>
    </xf>
    <xf numFmtId="4" fontId="14" fillId="0" borderId="53" xfId="2" applyNumberFormat="1" applyFont="1" applyFill="1" applyBorder="1" applyAlignment="1">
      <alignment horizontal="center" vertical="center"/>
    </xf>
    <xf numFmtId="2" fontId="14" fillId="0" borderId="54" xfId="2" applyNumberFormat="1" applyFont="1" applyFill="1" applyBorder="1" applyAlignment="1">
      <alignment horizontal="right" vertical="center"/>
    </xf>
    <xf numFmtId="0" fontId="5" fillId="3" borderId="20" xfId="2" applyFill="1" applyBorder="1" applyAlignment="1">
      <alignment horizontal="center" vertical="center"/>
    </xf>
    <xf numFmtId="0" fontId="5" fillId="3" borderId="56" xfId="2" applyFill="1" applyBorder="1" applyAlignment="1">
      <alignment vertical="center"/>
    </xf>
    <xf numFmtId="179" fontId="4" fillId="3" borderId="20" xfId="7" applyNumberFormat="1" applyFont="1" applyFill="1" applyBorder="1" applyAlignment="1">
      <alignment horizontal="center" vertical="center" wrapText="1"/>
    </xf>
    <xf numFmtId="164" fontId="4" fillId="3" borderId="20" xfId="8" applyFont="1" applyFill="1" applyBorder="1" applyAlignment="1">
      <alignment horizontal="center" vertical="center" wrapText="1"/>
    </xf>
    <xf numFmtId="164" fontId="5" fillId="3" borderId="20" xfId="8" applyFont="1" applyFill="1" applyBorder="1" applyAlignment="1">
      <alignment horizontal="center" vertical="center" wrapText="1"/>
    </xf>
    <xf numFmtId="164" fontId="5" fillId="3" borderId="51" xfId="8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vertical="center"/>
    </xf>
    <xf numFmtId="4" fontId="5" fillId="3" borderId="20" xfId="2" applyNumberFormat="1" applyFill="1" applyBorder="1" applyAlignment="1">
      <alignment horizontal="center" vertical="center"/>
    </xf>
    <xf numFmtId="177" fontId="5" fillId="3" borderId="20" xfId="2" applyNumberFormat="1" applyFill="1" applyBorder="1" applyAlignment="1">
      <alignment horizontal="center" vertical="center"/>
    </xf>
    <xf numFmtId="0" fontId="5" fillId="3" borderId="53" xfId="2" applyFill="1" applyBorder="1" applyAlignment="1">
      <alignment vertical="center"/>
    </xf>
    <xf numFmtId="179" fontId="5" fillId="3" borderId="53" xfId="7" applyNumberFormat="1" applyFont="1" applyFill="1" applyBorder="1" applyAlignment="1">
      <alignment vertical="center"/>
    </xf>
    <xf numFmtId="0" fontId="5" fillId="3" borderId="54" xfId="2" applyFill="1" applyBorder="1" applyAlignment="1">
      <alignment vertical="center"/>
    </xf>
    <xf numFmtId="0" fontId="42" fillId="3" borderId="76" xfId="1" applyFont="1" applyFill="1" applyBorder="1" applyAlignment="1">
      <alignment horizontal="center" vertical="center" wrapText="1"/>
    </xf>
    <xf numFmtId="0" fontId="42" fillId="3" borderId="14" xfId="1" applyFont="1" applyFill="1" applyBorder="1" applyAlignment="1">
      <alignment horizontal="center" vertical="center" wrapText="1"/>
    </xf>
    <xf numFmtId="0" fontId="42" fillId="3" borderId="75" xfId="1" applyFont="1" applyFill="1" applyBorder="1" applyAlignment="1">
      <alignment horizontal="center" vertical="center" wrapText="1"/>
    </xf>
    <xf numFmtId="174" fontId="43" fillId="0" borderId="69" xfId="1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horizontal="center" vertical="center"/>
    </xf>
    <xf numFmtId="0" fontId="14" fillId="0" borderId="58" xfId="2" applyFont="1" applyFill="1" applyBorder="1" applyAlignment="1">
      <alignment vertical="center"/>
    </xf>
    <xf numFmtId="0" fontId="14" fillId="0" borderId="22" xfId="2" applyFont="1" applyFill="1" applyBorder="1" applyAlignment="1">
      <alignment vertical="center"/>
    </xf>
    <xf numFmtId="0" fontId="14" fillId="0" borderId="23" xfId="2" applyFont="1" applyFill="1" applyBorder="1" applyAlignment="1">
      <alignment vertical="center"/>
    </xf>
    <xf numFmtId="0" fontId="14" fillId="0" borderId="26" xfId="2" applyFont="1" applyFill="1" applyBorder="1" applyAlignment="1">
      <alignment vertical="center"/>
    </xf>
    <xf numFmtId="0" fontId="14" fillId="0" borderId="27" xfId="2" applyFont="1" applyFill="1" applyBorder="1" applyAlignment="1">
      <alignment vertical="center"/>
    </xf>
    <xf numFmtId="0" fontId="14" fillId="0" borderId="123" xfId="2" applyFont="1" applyFill="1" applyBorder="1" applyAlignment="1">
      <alignment vertical="center"/>
    </xf>
    <xf numFmtId="0" fontId="14" fillId="0" borderId="124" xfId="2" applyFont="1" applyFill="1" applyBorder="1" applyAlignment="1">
      <alignment horizontal="right" vertical="center"/>
    </xf>
    <xf numFmtId="0" fontId="14" fillId="0" borderId="67" xfId="2" applyFont="1" applyFill="1" applyBorder="1" applyAlignment="1">
      <alignment vertical="center"/>
    </xf>
    <xf numFmtId="0" fontId="14" fillId="0" borderId="113" xfId="2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4" fillId="0" borderId="20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 wrapText="1"/>
    </xf>
    <xf numFmtId="2" fontId="14" fillId="0" borderId="20" xfId="0" applyNumberFormat="1" applyFont="1" applyFill="1" applyBorder="1" applyAlignment="1">
      <alignment horizontal="center" vertical="center" wrapText="1"/>
    </xf>
    <xf numFmtId="0" fontId="29" fillId="33" borderId="90" xfId="1" applyFont="1" applyFill="1" applyBorder="1" applyAlignment="1">
      <alignment horizontal="center" vertical="center"/>
    </xf>
    <xf numFmtId="0" fontId="43" fillId="0" borderId="20" xfId="97" applyFont="1" applyFill="1" applyBorder="1" applyAlignment="1">
      <alignment horizontal="center" vertical="center"/>
    </xf>
    <xf numFmtId="0" fontId="43" fillId="0" borderId="20" xfId="97" applyFont="1" applyBorder="1" applyAlignment="1">
      <alignment vertical="center" wrapText="1"/>
    </xf>
    <xf numFmtId="4" fontId="16" fillId="0" borderId="20" xfId="97" applyNumberFormat="1" applyFont="1" applyBorder="1" applyAlignment="1">
      <alignment horizontal="center" vertical="center"/>
    </xf>
    <xf numFmtId="4" fontId="16" fillId="2" borderId="20" xfId="13" applyNumberFormat="1" applyFont="1" applyFill="1" applyBorder="1" applyAlignment="1">
      <alignment horizontal="center" vertical="center"/>
    </xf>
    <xf numFmtId="4" fontId="16" fillId="0" borderId="20" xfId="97" applyNumberFormat="1" applyFont="1" applyFill="1" applyBorder="1" applyAlignment="1">
      <alignment horizontal="center" vertical="center"/>
    </xf>
    <xf numFmtId="164" fontId="16" fillId="0" borderId="51" xfId="8" applyFont="1" applyBorder="1" applyAlignment="1">
      <alignment horizontal="center" vertical="center" wrapText="1"/>
    </xf>
    <xf numFmtId="0" fontId="43" fillId="0" borderId="20" xfId="97" applyFont="1" applyFill="1" applyBorder="1" applyAlignment="1">
      <alignment horizontal="center" vertical="center" wrapText="1"/>
    </xf>
    <xf numFmtId="0" fontId="43" fillId="0" borderId="20" xfId="97" applyFont="1" applyFill="1" applyBorder="1" applyAlignment="1">
      <alignment vertical="center" wrapText="1"/>
    </xf>
    <xf numFmtId="0" fontId="16" fillId="0" borderId="20" xfId="97" applyFont="1" applyBorder="1" applyAlignment="1">
      <alignment horizontal="center" vertical="center"/>
    </xf>
    <xf numFmtId="2" fontId="43" fillId="0" borderId="20" xfId="97" applyNumberFormat="1" applyFont="1" applyFill="1" applyBorder="1" applyAlignment="1">
      <alignment horizontal="center" vertical="center"/>
    </xf>
    <xf numFmtId="4" fontId="16" fillId="0" borderId="51" xfId="97" applyNumberFormat="1" applyFont="1" applyBorder="1" applyAlignment="1">
      <alignment vertical="center"/>
    </xf>
    <xf numFmtId="164" fontId="25" fillId="0" borderId="51" xfId="7" applyFont="1" applyFill="1" applyBorder="1" applyAlignment="1">
      <alignment vertical="center"/>
    </xf>
    <xf numFmtId="0" fontId="25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81" fillId="0" borderId="0" xfId="1" applyFont="1" applyAlignment="1">
      <alignment horizontal="center" vertical="center"/>
    </xf>
    <xf numFmtId="0" fontId="82" fillId="0" borderId="0" xfId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center" vertical="center" wrapText="1"/>
    </xf>
    <xf numFmtId="0" fontId="15" fillId="0" borderId="51" xfId="2" applyFont="1" applyFill="1" applyBorder="1" applyAlignment="1">
      <alignment horizontal="center" vertical="center" wrapText="1"/>
    </xf>
    <xf numFmtId="0" fontId="14" fillId="0" borderId="53" xfId="2" applyFont="1" applyFill="1" applyBorder="1" applyAlignment="1">
      <alignment horizontal="center" vertical="center"/>
    </xf>
    <xf numFmtId="181" fontId="5" fillId="0" borderId="91" xfId="2" applyNumberFormat="1" applyFill="1" applyBorder="1" applyAlignment="1">
      <alignment vertical="center"/>
    </xf>
    <xf numFmtId="0" fontId="14" fillId="0" borderId="53" xfId="0" applyFont="1" applyFill="1" applyBorder="1" applyAlignment="1">
      <alignment horizontal="right" vertical="center"/>
    </xf>
    <xf numFmtId="17" fontId="14" fillId="0" borderId="53" xfId="0" applyNumberFormat="1" applyFont="1" applyFill="1" applyBorder="1" applyAlignment="1">
      <alignment horizontal="center" vertical="center"/>
    </xf>
    <xf numFmtId="164" fontId="14" fillId="0" borderId="0" xfId="7" applyFont="1" applyFill="1" applyBorder="1" applyAlignment="1">
      <alignment vertical="center"/>
    </xf>
    <xf numFmtId="168" fontId="14" fillId="0" borderId="0" xfId="5" applyNumberFormat="1" applyFont="1" applyFill="1" applyAlignment="1">
      <alignment vertical="center"/>
    </xf>
    <xf numFmtId="185" fontId="14" fillId="0" borderId="0" xfId="0" applyNumberFormat="1" applyFont="1" applyFill="1" applyAlignment="1">
      <alignment vertical="center"/>
    </xf>
    <xf numFmtId="0" fontId="35" fillId="0" borderId="20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164" fontId="14" fillId="0" borderId="20" xfId="7" applyFont="1" applyBorder="1" applyAlignment="1">
      <alignment horizontal="right" vertical="center" wrapText="1"/>
    </xf>
    <xf numFmtId="0" fontId="14" fillId="0" borderId="0" xfId="7" applyNumberFormat="1" applyFont="1" applyFill="1" applyAlignment="1">
      <alignment vertical="center"/>
    </xf>
    <xf numFmtId="9" fontId="14" fillId="0" borderId="0" xfId="5" applyFont="1" applyFill="1" applyAlignment="1">
      <alignment vertical="center"/>
    </xf>
    <xf numFmtId="9" fontId="14" fillId="0" borderId="0" xfId="5" applyFont="1" applyFill="1" applyBorder="1" applyAlignment="1">
      <alignment horizontal="center" vertical="center"/>
    </xf>
    <xf numFmtId="9" fontId="14" fillId="0" borderId="0" xfId="5" applyFont="1" applyFill="1" applyBorder="1" applyAlignment="1">
      <alignment vertical="center"/>
    </xf>
    <xf numFmtId="164" fontId="14" fillId="0" borderId="0" xfId="7" applyFont="1" applyFill="1" applyBorder="1" applyAlignment="1">
      <alignment horizontal="center" vertical="center"/>
    </xf>
    <xf numFmtId="9" fontId="14" fillId="0" borderId="0" xfId="5" applyFont="1" applyFill="1" applyAlignment="1">
      <alignment horizontal="right" vertical="center"/>
    </xf>
    <xf numFmtId="10" fontId="15" fillId="4" borderId="47" xfId="0" applyNumberFormat="1" applyFont="1" applyFill="1" applyBorder="1" applyAlignment="1">
      <alignment horizontal="center" vertical="center" wrapText="1"/>
    </xf>
    <xf numFmtId="10" fontId="15" fillId="5" borderId="21" xfId="5" applyNumberFormat="1" applyFont="1" applyFill="1" applyBorder="1" applyAlignment="1">
      <alignment horizontal="right" vertical="center" wrapText="1"/>
    </xf>
    <xf numFmtId="10" fontId="14" fillId="5" borderId="21" xfId="0" applyNumberFormat="1" applyFont="1" applyFill="1" applyBorder="1" applyAlignment="1">
      <alignment horizontal="right" vertical="center" wrapText="1"/>
    </xf>
    <xf numFmtId="168" fontId="12" fillId="0" borderId="81" xfId="0" applyNumberFormat="1" applyFont="1" applyFill="1" applyBorder="1" applyAlignment="1">
      <alignment horizontal="right" vertical="center"/>
    </xf>
    <xf numFmtId="9" fontId="34" fillId="0" borderId="20" xfId="5" applyFont="1" applyFill="1" applyBorder="1" applyAlignment="1">
      <alignment horizontal="center" vertical="center"/>
    </xf>
    <xf numFmtId="164" fontId="34" fillId="0" borderId="20" xfId="7" applyFont="1" applyFill="1" applyBorder="1" applyAlignment="1">
      <alignment horizontal="center" vertical="center"/>
    </xf>
    <xf numFmtId="9" fontId="14" fillId="0" borderId="20" xfId="5" applyFont="1" applyFill="1" applyBorder="1" applyAlignment="1">
      <alignment vertical="center"/>
    </xf>
    <xf numFmtId="43" fontId="14" fillId="0" borderId="20" xfId="0" applyNumberFormat="1" applyFont="1" applyFill="1" applyBorder="1" applyAlignment="1">
      <alignment vertical="center"/>
    </xf>
    <xf numFmtId="164" fontId="14" fillId="0" borderId="20" xfId="7" applyFont="1" applyFill="1" applyBorder="1" applyAlignment="1">
      <alignment vertical="center"/>
    </xf>
    <xf numFmtId="9" fontId="15" fillId="0" borderId="20" xfId="5" applyFont="1" applyFill="1" applyBorder="1" applyAlignment="1">
      <alignment vertical="center"/>
    </xf>
    <xf numFmtId="164" fontId="15" fillId="0" borderId="20" xfId="7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9" fontId="14" fillId="0" borderId="0" xfId="0" applyNumberFormat="1" applyFont="1" applyFill="1" applyAlignment="1">
      <alignment vertical="center"/>
    </xf>
    <xf numFmtId="9" fontId="14" fillId="6" borderId="0" xfId="5" applyFont="1" applyFill="1" applyAlignment="1">
      <alignment vertical="center"/>
    </xf>
    <xf numFmtId="9" fontId="14" fillId="6" borderId="20" xfId="5" applyFont="1" applyFill="1" applyBorder="1" applyAlignment="1">
      <alignment vertical="center"/>
    </xf>
    <xf numFmtId="9" fontId="15" fillId="6" borderId="20" xfId="5" applyFont="1" applyFill="1" applyBorder="1" applyAlignment="1">
      <alignment vertical="center"/>
    </xf>
    <xf numFmtId="0" fontId="15" fillId="6" borderId="50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164" fontId="15" fillId="6" borderId="20" xfId="7" applyFont="1" applyFill="1" applyBorder="1" applyAlignment="1">
      <alignment horizontal="right" vertical="center" wrapText="1"/>
    </xf>
    <xf numFmtId="4" fontId="15" fillId="6" borderId="20" xfId="0" applyNumberFormat="1" applyFont="1" applyFill="1" applyBorder="1" applyAlignment="1">
      <alignment horizontal="right" vertical="center" wrapText="1"/>
    </xf>
    <xf numFmtId="164" fontId="14" fillId="6" borderId="20" xfId="7" applyFont="1" applyFill="1" applyBorder="1" applyAlignment="1">
      <alignment vertical="center"/>
    </xf>
    <xf numFmtId="0" fontId="14" fillId="6" borderId="20" xfId="0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5" fillId="6" borderId="20" xfId="0" applyFont="1" applyFill="1" applyBorder="1" applyAlignment="1">
      <alignment vertical="center" wrapText="1"/>
    </xf>
    <xf numFmtId="186" fontId="14" fillId="0" borderId="0" xfId="0" applyNumberFormat="1" applyFont="1" applyFill="1" applyAlignment="1">
      <alignment vertical="center"/>
    </xf>
    <xf numFmtId="186" fontId="14" fillId="0" borderId="20" xfId="5" applyNumberFormat="1" applyFont="1" applyFill="1" applyBorder="1" applyAlignment="1">
      <alignment vertical="center"/>
    </xf>
    <xf numFmtId="186" fontId="14" fillId="0" borderId="20" xfId="0" applyNumberFormat="1" applyFont="1" applyFill="1" applyBorder="1" applyAlignment="1">
      <alignment vertical="center"/>
    </xf>
    <xf numFmtId="186" fontId="15" fillId="0" borderId="20" xfId="0" applyNumberFormat="1" applyFont="1" applyFill="1" applyBorder="1" applyAlignment="1">
      <alignment vertical="center"/>
    </xf>
    <xf numFmtId="186" fontId="14" fillId="6" borderId="20" xfId="0" applyNumberFormat="1" applyFont="1" applyFill="1" applyBorder="1" applyAlignment="1">
      <alignment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6" fontId="34" fillId="0" borderId="0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25" fillId="0" borderId="0" xfId="4" applyFont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66" fontId="34" fillId="0" borderId="0" xfId="0" applyNumberFormat="1" applyFont="1" applyFill="1" applyBorder="1" applyAlignment="1">
      <alignment vertical="center"/>
    </xf>
    <xf numFmtId="0" fontId="53" fillId="2" borderId="20" xfId="0" applyFont="1" applyFill="1" applyBorder="1" applyAlignment="1">
      <alignment vertical="center" wrapText="1"/>
    </xf>
    <xf numFmtId="0" fontId="84" fillId="2" borderId="20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87" fontId="0" fillId="0" borderId="0" xfId="0" applyNumberFormat="1" applyAlignment="1">
      <alignment vertical="center"/>
    </xf>
    <xf numFmtId="0" fontId="16" fillId="0" borderId="20" xfId="2" applyFont="1" applyFill="1" applyBorder="1" applyAlignment="1">
      <alignment horizontal="center" vertical="center"/>
    </xf>
    <xf numFmtId="168" fontId="7" fillId="0" borderId="20" xfId="6" applyNumberFormat="1" applyFont="1" applyBorder="1" applyAlignment="1">
      <alignment horizontal="center" vertical="center"/>
    </xf>
    <xf numFmtId="10" fontId="7" fillId="0" borderId="20" xfId="6" applyNumberFormat="1" applyFont="1" applyBorder="1" applyAlignment="1">
      <alignment horizontal="center" vertical="center"/>
    </xf>
    <xf numFmtId="10" fontId="7" fillId="0" borderId="53" xfId="6" applyNumberFormat="1" applyFont="1" applyBorder="1" applyAlignment="1">
      <alignment horizontal="center" vertical="center"/>
    </xf>
    <xf numFmtId="10" fontId="0" fillId="0" borderId="0" xfId="5" applyNumberFormat="1" applyFont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6" fillId="0" borderId="20" xfId="2" applyFont="1" applyFill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164" fontId="43" fillId="3" borderId="13" xfId="7" applyFont="1" applyFill="1" applyBorder="1" applyAlignment="1">
      <alignment horizontal="center" vertical="center"/>
    </xf>
    <xf numFmtId="0" fontId="14" fillId="3" borderId="120" xfId="0" applyFont="1" applyFill="1" applyBorder="1" applyAlignment="1">
      <alignment horizontal="center" vertical="center"/>
    </xf>
    <xf numFmtId="4" fontId="14" fillId="0" borderId="91" xfId="0" applyNumberFormat="1" applyFont="1" applyBorder="1" applyAlignment="1">
      <alignment horizontal="center" vertical="center"/>
    </xf>
    <xf numFmtId="164" fontId="14" fillId="3" borderId="91" xfId="8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120" xfId="2" applyFont="1" applyFill="1" applyBorder="1" applyAlignment="1">
      <alignment horizontal="center" vertical="center"/>
    </xf>
    <xf numFmtId="164" fontId="14" fillId="0" borderId="91" xfId="8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6" fillId="0" borderId="0" xfId="97" applyFont="1" applyAlignment="1">
      <alignment vertical="center"/>
    </xf>
    <xf numFmtId="0" fontId="25" fillId="33" borderId="88" xfId="97" applyFont="1" applyFill="1" applyBorder="1" applyAlignment="1">
      <alignment horizontal="center" vertical="center"/>
    </xf>
    <xf numFmtId="0" fontId="16" fillId="33" borderId="0" xfId="97" applyFont="1" applyFill="1" applyAlignment="1">
      <alignment vertical="center"/>
    </xf>
    <xf numFmtId="0" fontId="88" fillId="34" borderId="48" xfId="100" applyFont="1" applyFill="1" applyBorder="1" applyAlignment="1">
      <alignment horizontal="center" vertical="center" wrapText="1"/>
    </xf>
    <xf numFmtId="0" fontId="88" fillId="34" borderId="45" xfId="100" applyFont="1" applyFill="1" applyBorder="1" applyAlignment="1">
      <alignment horizontal="left" vertical="center" wrapText="1"/>
    </xf>
    <xf numFmtId="0" fontId="88" fillId="34" borderId="45" xfId="100" applyFont="1" applyFill="1" applyBorder="1" applyAlignment="1">
      <alignment horizontal="center" vertical="center" wrapText="1"/>
    </xf>
    <xf numFmtId="4" fontId="88" fillId="34" borderId="45" xfId="100" applyNumberFormat="1" applyFont="1" applyFill="1" applyBorder="1" applyAlignment="1">
      <alignment horizontal="center" vertical="center" wrapText="1"/>
    </xf>
    <xf numFmtId="164" fontId="16" fillId="0" borderId="49" xfId="7" applyFont="1" applyBorder="1" applyAlignment="1">
      <alignment horizontal="center" vertical="center"/>
    </xf>
    <xf numFmtId="0" fontId="88" fillId="34" borderId="50" xfId="100" applyFont="1" applyFill="1" applyBorder="1" applyAlignment="1">
      <alignment horizontal="center" vertical="center" wrapText="1"/>
    </xf>
    <xf numFmtId="0" fontId="88" fillId="34" borderId="20" xfId="100" applyFont="1" applyFill="1" applyBorder="1" applyAlignment="1">
      <alignment horizontal="left" vertical="center" wrapText="1"/>
    </xf>
    <xf numFmtId="0" fontId="88" fillId="34" borderId="20" xfId="100" applyFont="1" applyFill="1" applyBorder="1" applyAlignment="1">
      <alignment horizontal="center" vertical="center" wrapText="1"/>
    </xf>
    <xf numFmtId="4" fontId="88" fillId="34" borderId="20" xfId="100" applyNumberFormat="1" applyFont="1" applyFill="1" applyBorder="1" applyAlignment="1">
      <alignment horizontal="center" vertical="center" wrapText="1"/>
    </xf>
    <xf numFmtId="164" fontId="16" fillId="0" borderId="51" xfId="7" applyFont="1" applyBorder="1" applyAlignment="1">
      <alignment horizontal="center" vertical="center"/>
    </xf>
    <xf numFmtId="0" fontId="25" fillId="0" borderId="52" xfId="0" applyFont="1" applyBorder="1" applyAlignment="1">
      <alignment horizontal="right"/>
    </xf>
    <xf numFmtId="0" fontId="25" fillId="0" borderId="53" xfId="0" applyFont="1" applyBorder="1" applyAlignment="1">
      <alignment horizontal="right" vertical="center"/>
    </xf>
    <xf numFmtId="164" fontId="25" fillId="0" borderId="54" xfId="0" applyNumberFormat="1" applyFont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43" fontId="34" fillId="0" borderId="0" xfId="0" applyNumberFormat="1" applyFont="1"/>
    <xf numFmtId="0" fontId="27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/>
    </xf>
    <xf numFmtId="0" fontId="53" fillId="0" borderId="20" xfId="0" applyFont="1" applyBorder="1" applyAlignment="1">
      <alignment vertical="center"/>
    </xf>
    <xf numFmtId="0" fontId="53" fillId="0" borderId="2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 wrapText="1"/>
    </xf>
    <xf numFmtId="164" fontId="53" fillId="0" borderId="51" xfId="101" applyFont="1" applyBorder="1" applyAlignment="1">
      <alignment vertical="center"/>
    </xf>
    <xf numFmtId="164" fontId="27" fillId="0" borderId="54" xfId="101" applyFont="1" applyBorder="1" applyAlignment="1">
      <alignment vertical="center"/>
    </xf>
    <xf numFmtId="0" fontId="0" fillId="0" borderId="88" xfId="0" applyBorder="1"/>
    <xf numFmtId="0" fontId="0" fillId="0" borderId="89" xfId="0" applyBorder="1" applyAlignment="1">
      <alignment wrapText="1"/>
    </xf>
    <xf numFmtId="0" fontId="0" fillId="0" borderId="89" xfId="0" applyBorder="1"/>
    <xf numFmtId="164" fontId="0" fillId="0" borderId="89" xfId="0" applyNumberFormat="1" applyBorder="1"/>
    <xf numFmtId="43" fontId="0" fillId="0" borderId="90" xfId="0" applyNumberFormat="1" applyBorder="1"/>
    <xf numFmtId="0" fontId="0" fillId="0" borderId="50" xfId="0" applyBorder="1"/>
    <xf numFmtId="0" fontId="0" fillId="0" borderId="52" xfId="0" applyBorder="1"/>
    <xf numFmtId="164" fontId="14" fillId="0" borderId="0" xfId="7" applyFont="1" applyFill="1" applyAlignment="1">
      <alignment horizontal="right" vertical="center"/>
    </xf>
    <xf numFmtId="0" fontId="14" fillId="0" borderId="20" xfId="0" applyFont="1" applyFill="1" applyBorder="1" applyAlignment="1">
      <alignment horizontal="center" vertical="center" wrapText="1"/>
    </xf>
    <xf numFmtId="0" fontId="25" fillId="0" borderId="53" xfId="2" applyFont="1" applyBorder="1" applyAlignment="1">
      <alignment horizontal="center" vertical="center" wrapText="1"/>
    </xf>
    <xf numFmtId="0" fontId="25" fillId="0" borderId="12" xfId="2" applyFont="1" applyBorder="1" applyAlignment="1">
      <alignment vertical="center"/>
    </xf>
    <xf numFmtId="0" fontId="25" fillId="0" borderId="11" xfId="2" applyFont="1" applyBorder="1" applyAlignment="1">
      <alignment vertical="center"/>
    </xf>
    <xf numFmtId="0" fontId="14" fillId="0" borderId="20" xfId="0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14" fillId="0" borderId="20" xfId="0" applyFont="1" applyFill="1" applyBorder="1" applyAlignment="1">
      <alignment horizontal="center" vertical="center" wrapText="1"/>
    </xf>
    <xf numFmtId="10" fontId="43" fillId="0" borderId="21" xfId="2" applyNumberFormat="1" applyFont="1" applyFill="1" applyBorder="1" applyAlignment="1">
      <alignment vertical="center"/>
    </xf>
    <xf numFmtId="0" fontId="25" fillId="0" borderId="3" xfId="2" applyFont="1" applyBorder="1" applyAlignment="1">
      <alignment vertical="center"/>
    </xf>
    <xf numFmtId="10" fontId="43" fillId="0" borderId="68" xfId="2" applyNumberFormat="1" applyFont="1" applyFill="1" applyBorder="1" applyAlignment="1">
      <alignment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91" xfId="2" applyFont="1" applyFill="1" applyBorder="1" applyAlignment="1">
      <alignment horizontal="left" vertical="center"/>
    </xf>
    <xf numFmtId="0" fontId="34" fillId="3" borderId="21" xfId="0" applyFont="1" applyFill="1" applyBorder="1" applyAlignment="1">
      <alignment horizontal="center" vertical="center" wrapText="1"/>
    </xf>
    <xf numFmtId="0" fontId="14" fillId="0" borderId="20" xfId="2" applyFont="1" applyFill="1" applyBorder="1" applyAlignment="1">
      <alignment horizontal="center" vertical="center"/>
    </xf>
    <xf numFmtId="4" fontId="16" fillId="0" borderId="20" xfId="2" applyNumberFormat="1" applyFont="1" applyFill="1" applyBorder="1" applyAlignment="1">
      <alignment horizontal="left" vertical="center"/>
    </xf>
    <xf numFmtId="0" fontId="25" fillId="0" borderId="0" xfId="97" applyFont="1" applyFill="1" applyBorder="1" applyAlignment="1">
      <alignment horizontal="center" vertical="center"/>
    </xf>
    <xf numFmtId="164" fontId="25" fillId="0" borderId="0" xfId="7" applyFont="1" applyFill="1" applyBorder="1" applyAlignment="1">
      <alignment vertical="center"/>
    </xf>
    <xf numFmtId="0" fontId="16" fillId="0" borderId="20" xfId="97" applyFont="1" applyFill="1" applyBorder="1" applyAlignment="1">
      <alignment horizontal="left" vertical="center"/>
    </xf>
    <xf numFmtId="0" fontId="16" fillId="0" borderId="20" xfId="97" applyFont="1" applyFill="1" applyBorder="1" applyAlignment="1">
      <alignment horizontal="center" vertical="center"/>
    </xf>
    <xf numFmtId="164" fontId="25" fillId="0" borderId="51" xfId="7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left" vertical="center"/>
    </xf>
    <xf numFmtId="4" fontId="14" fillId="0" borderId="91" xfId="0" applyNumberFormat="1" applyFont="1" applyBorder="1" applyAlignment="1">
      <alignment horizontal="center" vertical="center"/>
    </xf>
    <xf numFmtId="0" fontId="14" fillId="3" borderId="120" xfId="0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1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29" fillId="33" borderId="13" xfId="1" applyFont="1" applyFill="1" applyBorder="1" applyAlignment="1">
      <alignment horizontal="center" vertical="center" wrapText="1"/>
    </xf>
    <xf numFmtId="0" fontId="29" fillId="33" borderId="129" xfId="1" applyFont="1" applyFill="1" applyBorder="1" applyAlignment="1">
      <alignment horizontal="center" vertical="center" wrapText="1"/>
    </xf>
    <xf numFmtId="0" fontId="30" fillId="0" borderId="129" xfId="1" applyFont="1" applyFill="1" applyBorder="1" applyAlignment="1">
      <alignment horizontal="center" vertical="center" wrapText="1"/>
    </xf>
    <xf numFmtId="2" fontId="16" fillId="0" borderId="20" xfId="97" applyNumberFormat="1" applyFont="1" applyFill="1" applyBorder="1" applyAlignment="1">
      <alignment horizontal="center" vertical="center"/>
    </xf>
    <xf numFmtId="0" fontId="16" fillId="0" borderId="20" xfId="97" applyFont="1" applyFill="1" applyBorder="1" applyAlignment="1">
      <alignment horizontal="right" vertical="center"/>
    </xf>
    <xf numFmtId="2" fontId="43" fillId="0" borderId="20" xfId="97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right" vertical="center"/>
    </xf>
    <xf numFmtId="2" fontId="16" fillId="0" borderId="20" xfId="0" applyNumberFormat="1" applyFont="1" applyFill="1" applyBorder="1" applyAlignment="1">
      <alignment horizontal="right" vertical="center"/>
    </xf>
    <xf numFmtId="0" fontId="16" fillId="0" borderId="45" xfId="0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horizontal="center" vertical="center" wrapText="1"/>
    </xf>
    <xf numFmtId="4" fontId="14" fillId="3" borderId="20" xfId="2" applyNumberFormat="1" applyFont="1" applyFill="1" applyBorder="1" applyAlignment="1">
      <alignment horizontal="left" vertical="center"/>
    </xf>
    <xf numFmtId="10" fontId="34" fillId="0" borderId="53" xfId="2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 wrapText="1"/>
    </xf>
    <xf numFmtId="49" fontId="53" fillId="0" borderId="20" xfId="103" applyNumberFormat="1" applyFont="1" applyFill="1" applyBorder="1" applyAlignment="1">
      <alignment horizontal="center" vertical="center"/>
    </xf>
    <xf numFmtId="164" fontId="53" fillId="0" borderId="20" xfId="7" applyFont="1" applyFill="1" applyBorder="1" applyAlignment="1">
      <alignment vertical="center"/>
    </xf>
    <xf numFmtId="164" fontId="53" fillId="0" borderId="20" xfId="7" applyFont="1" applyBorder="1"/>
    <xf numFmtId="164" fontId="53" fillId="0" borderId="20" xfId="7" applyFont="1" applyFill="1" applyBorder="1" applyAlignment="1">
      <alignment horizontal="center" vertical="center"/>
    </xf>
    <xf numFmtId="0" fontId="90" fillId="3" borderId="20" xfId="104" applyFont="1" applyFill="1" applyBorder="1" applyAlignment="1">
      <alignment horizontal="center" vertical="center"/>
    </xf>
    <xf numFmtId="164" fontId="90" fillId="3" borderId="20" xfId="7" applyFont="1" applyFill="1" applyBorder="1" applyAlignment="1">
      <alignment vertical="center"/>
    </xf>
    <xf numFmtId="0" fontId="53" fillId="0" borderId="23" xfId="0" applyFont="1" applyBorder="1" applyAlignment="1">
      <alignment horizontal="center" vertical="center"/>
    </xf>
    <xf numFmtId="0" fontId="53" fillId="0" borderId="20" xfId="0" applyFont="1" applyBorder="1" applyAlignment="1">
      <alignment vertical="center" wrapText="1"/>
    </xf>
    <xf numFmtId="0" fontId="53" fillId="0" borderId="91" xfId="0" applyFont="1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wrapText="1"/>
    </xf>
    <xf numFmtId="164" fontId="0" fillId="0" borderId="20" xfId="0" applyNumberFormat="1" applyBorder="1"/>
    <xf numFmtId="43" fontId="0" fillId="0" borderId="20" xfId="0" applyNumberFormat="1" applyBorder="1"/>
    <xf numFmtId="0" fontId="43" fillId="3" borderId="13" xfId="1" quotePrefix="1" applyFont="1" applyFill="1" applyBorder="1" applyAlignment="1">
      <alignment horizontal="center" vertical="center"/>
    </xf>
    <xf numFmtId="4" fontId="14" fillId="0" borderId="81" xfId="2" applyNumberFormat="1" applyFont="1" applyFill="1" applyBorder="1" applyAlignment="1">
      <alignment vertical="center"/>
    </xf>
    <xf numFmtId="4" fontId="14" fillId="0" borderId="68" xfId="2" applyNumberFormat="1" applyFont="1" applyFill="1" applyBorder="1" applyAlignment="1">
      <alignment vertical="center"/>
    </xf>
    <xf numFmtId="4" fontId="14" fillId="0" borderId="113" xfId="2" applyNumberFormat="1" applyFont="1" applyFill="1" applyBorder="1" applyAlignment="1">
      <alignment vertical="center"/>
    </xf>
    <xf numFmtId="0" fontId="13" fillId="0" borderId="69" xfId="2" applyFont="1" applyFill="1" applyBorder="1" applyAlignment="1">
      <alignment horizontal="center" vertical="center"/>
    </xf>
    <xf numFmtId="0" fontId="13" fillId="0" borderId="72" xfId="2" applyFont="1" applyFill="1" applyBorder="1" applyAlignment="1">
      <alignment horizontal="center" vertical="center"/>
    </xf>
    <xf numFmtId="0" fontId="13" fillId="0" borderId="70" xfId="2" applyFont="1" applyFill="1" applyBorder="1" applyAlignment="1">
      <alignment horizontal="center" vertical="center"/>
    </xf>
    <xf numFmtId="0" fontId="13" fillId="0" borderId="71" xfId="2" applyFont="1" applyFill="1" applyBorder="1" applyAlignment="1">
      <alignment horizontal="center" vertical="center"/>
    </xf>
    <xf numFmtId="4" fontId="13" fillId="0" borderId="71" xfId="2" applyNumberFormat="1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6" fillId="0" borderId="73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33" xfId="2" applyFont="1" applyBorder="1" applyAlignment="1">
      <alignment horizontal="center" vertical="center" wrapText="1"/>
    </xf>
    <xf numFmtId="0" fontId="16" fillId="0" borderId="83" xfId="2" applyFont="1" applyBorder="1" applyAlignment="1">
      <alignment horizontal="center" vertical="center" wrapText="1"/>
    </xf>
    <xf numFmtId="0" fontId="16" fillId="0" borderId="85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 wrapText="1"/>
    </xf>
    <xf numFmtId="0" fontId="13" fillId="0" borderId="122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17" fontId="35" fillId="0" borderId="43" xfId="0" applyNumberFormat="1" applyFont="1" applyBorder="1" applyAlignment="1">
      <alignment horizontal="center" vertical="center"/>
    </xf>
    <xf numFmtId="17" fontId="35" fillId="0" borderId="3" xfId="0" applyNumberFormat="1" applyFont="1" applyBorder="1" applyAlignment="1">
      <alignment horizontal="center" vertical="center"/>
    </xf>
    <xf numFmtId="17" fontId="35" fillId="0" borderId="4" xfId="0" applyNumberFormat="1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10" fontId="34" fillId="0" borderId="20" xfId="2" applyNumberFormat="1" applyFont="1" applyFill="1" applyBorder="1" applyAlignment="1">
      <alignment horizontal="center" vertical="center"/>
    </xf>
    <xf numFmtId="4" fontId="14" fillId="0" borderId="53" xfId="2" applyNumberFormat="1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center" wrapText="1"/>
    </xf>
    <xf numFmtId="0" fontId="14" fillId="0" borderId="51" xfId="2" applyFont="1" applyFill="1" applyBorder="1" applyAlignment="1">
      <alignment horizontal="center" vertical="center" wrapText="1"/>
    </xf>
    <xf numFmtId="0" fontId="14" fillId="0" borderId="53" xfId="2" applyFont="1" applyFill="1" applyBorder="1" applyAlignment="1">
      <alignment horizontal="center" vertical="center" wrapText="1"/>
    </xf>
    <xf numFmtId="0" fontId="14" fillId="0" borderId="54" xfId="2" applyFont="1" applyFill="1" applyBorder="1" applyAlignment="1">
      <alignment horizontal="center" vertical="center" wrapText="1"/>
    </xf>
    <xf numFmtId="0" fontId="16" fillId="0" borderId="74" xfId="2" applyFont="1" applyBorder="1" applyAlignment="1">
      <alignment horizontal="center" vertical="center" wrapText="1"/>
    </xf>
    <xf numFmtId="0" fontId="16" fillId="0" borderId="69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4" fontId="34" fillId="0" borderId="20" xfId="0" applyNumberFormat="1" applyFont="1" applyFill="1" applyBorder="1" applyAlignment="1">
      <alignment horizontal="center" vertical="center"/>
    </xf>
    <xf numFmtId="4" fontId="34" fillId="0" borderId="53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184" fontId="35" fillId="0" borderId="20" xfId="0" applyNumberFormat="1" applyFont="1" applyBorder="1" applyAlignment="1">
      <alignment horizontal="center" vertical="center"/>
    </xf>
    <xf numFmtId="184" fontId="35" fillId="0" borderId="51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35" fillId="3" borderId="20" xfId="0" applyFont="1" applyFill="1" applyBorder="1" applyAlignment="1">
      <alignment horizontal="left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4" fontId="35" fillId="0" borderId="20" xfId="0" applyNumberFormat="1" applyFont="1" applyBorder="1" applyAlignment="1">
      <alignment horizontal="center" vertical="center" wrapText="1"/>
    </xf>
    <xf numFmtId="4" fontId="35" fillId="0" borderId="51" xfId="0" applyNumberFormat="1" applyFont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left" vertical="center" wrapText="1"/>
    </xf>
    <xf numFmtId="4" fontId="15" fillId="3" borderId="20" xfId="0" applyNumberFormat="1" applyFont="1" applyFill="1" applyBorder="1" applyAlignment="1">
      <alignment horizontal="center" vertical="center"/>
    </xf>
    <xf numFmtId="4" fontId="15" fillId="3" borderId="51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/>
    </xf>
    <xf numFmtId="184" fontId="15" fillId="3" borderId="20" xfId="0" applyNumberFormat="1" applyFont="1" applyFill="1" applyBorder="1" applyAlignment="1">
      <alignment horizontal="center" vertical="center"/>
    </xf>
    <xf numFmtId="184" fontId="15" fillId="3" borderId="51" xfId="0" applyNumberFormat="1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4" fontId="15" fillId="0" borderId="53" xfId="2" applyNumberFormat="1" applyFont="1" applyBorder="1" applyAlignment="1">
      <alignment horizontal="center" vertical="center"/>
    </xf>
    <xf numFmtId="4" fontId="15" fillId="0" borderId="54" xfId="2" applyNumberFormat="1" applyFont="1" applyBorder="1" applyAlignment="1">
      <alignment horizontal="center" vertical="center"/>
    </xf>
    <xf numFmtId="0" fontId="13" fillId="0" borderId="111" xfId="2" applyFont="1" applyBorder="1" applyAlignment="1">
      <alignment horizontal="center" vertical="center"/>
    </xf>
    <xf numFmtId="0" fontId="13" fillId="0" borderId="92" xfId="2" applyFont="1" applyBorder="1" applyAlignment="1">
      <alignment horizontal="center" vertical="center"/>
    </xf>
    <xf numFmtId="0" fontId="13" fillId="0" borderId="112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56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5" fillId="0" borderId="57" xfId="2" applyFont="1" applyBorder="1" applyAlignment="1">
      <alignment horizontal="center" vertical="center" wrapText="1"/>
    </xf>
    <xf numFmtId="0" fontId="15" fillId="0" borderId="51" xfId="2" applyFont="1" applyBorder="1" applyAlignment="1">
      <alignment horizontal="center" vertical="center" wrapText="1"/>
    </xf>
    <xf numFmtId="0" fontId="15" fillId="0" borderId="5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34" fillId="0" borderId="26" xfId="2" applyFont="1" applyFill="1" applyBorder="1" applyAlignment="1">
      <alignment horizontal="center" vertical="center" wrapText="1"/>
    </xf>
    <xf numFmtId="0" fontId="34" fillId="0" borderId="60" xfId="2" applyFont="1" applyFill="1" applyBorder="1" applyAlignment="1">
      <alignment horizontal="center" vertical="center" wrapText="1"/>
    </xf>
    <xf numFmtId="0" fontId="34" fillId="0" borderId="94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95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3" fillId="0" borderId="121" xfId="2" applyFont="1" applyBorder="1" applyAlignment="1">
      <alignment horizontal="center" vertical="center"/>
    </xf>
    <xf numFmtId="0" fontId="13" fillId="0" borderId="62" xfId="2" applyFont="1" applyBorder="1" applyAlignment="1">
      <alignment horizontal="center" vertical="center"/>
    </xf>
    <xf numFmtId="0" fontId="13" fillId="0" borderId="63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4" fontId="14" fillId="0" borderId="53" xfId="2" applyNumberFormat="1" applyFont="1" applyBorder="1" applyAlignment="1">
      <alignment horizontal="left" vertical="center"/>
    </xf>
    <xf numFmtId="10" fontId="34" fillId="0" borderId="53" xfId="2" applyNumberFormat="1" applyFont="1" applyBorder="1" applyAlignment="1">
      <alignment horizontal="center" vertical="center"/>
    </xf>
    <xf numFmtId="0" fontId="34" fillId="0" borderId="53" xfId="2" applyNumberFormat="1" applyFont="1" applyBorder="1" applyAlignment="1">
      <alignment horizontal="center" vertical="center"/>
    </xf>
    <xf numFmtId="49" fontId="34" fillId="0" borderId="20" xfId="2" applyNumberFormat="1" applyFont="1" applyBorder="1" applyAlignment="1">
      <alignment horizontal="center" vertical="center"/>
    </xf>
    <xf numFmtId="0" fontId="34" fillId="0" borderId="20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25" fillId="0" borderId="52" xfId="2" applyFont="1" applyBorder="1" applyAlignment="1">
      <alignment horizontal="center" vertical="center"/>
    </xf>
    <xf numFmtId="0" fontId="25" fillId="0" borderId="53" xfId="2" applyFont="1" applyBorder="1" applyAlignment="1">
      <alignment horizontal="center" vertical="center"/>
    </xf>
    <xf numFmtId="0" fontId="25" fillId="0" borderId="55" xfId="2" applyFont="1" applyBorder="1" applyAlignment="1">
      <alignment horizontal="center" vertical="center"/>
    </xf>
    <xf numFmtId="0" fontId="25" fillId="0" borderId="56" xfId="2" applyFont="1" applyBorder="1" applyAlignment="1">
      <alignment horizontal="center" vertical="center"/>
    </xf>
    <xf numFmtId="0" fontId="25" fillId="0" borderId="56" xfId="2" applyFont="1" applyBorder="1" applyAlignment="1">
      <alignment horizontal="center" vertical="center" wrapText="1"/>
    </xf>
    <xf numFmtId="0" fontId="25" fillId="0" borderId="53" xfId="2" applyFont="1" applyBorder="1" applyAlignment="1">
      <alignment horizontal="center" vertical="center" wrapText="1"/>
    </xf>
    <xf numFmtId="3" fontId="25" fillId="0" borderId="66" xfId="2" applyNumberFormat="1" applyFont="1" applyFill="1" applyBorder="1" applyAlignment="1">
      <alignment horizontal="center" vertical="center"/>
    </xf>
    <xf numFmtId="3" fontId="25" fillId="0" borderId="25" xfId="2" applyNumberFormat="1" applyFont="1" applyFill="1" applyBorder="1" applyAlignment="1">
      <alignment horizontal="center" vertical="center"/>
    </xf>
    <xf numFmtId="3" fontId="25" fillId="0" borderId="80" xfId="2" applyNumberFormat="1" applyFont="1" applyFill="1" applyBorder="1" applyAlignment="1">
      <alignment horizontal="center" vertical="center"/>
    </xf>
    <xf numFmtId="0" fontId="25" fillId="0" borderId="57" xfId="2" applyFont="1" applyBorder="1" applyAlignment="1">
      <alignment horizontal="center" vertical="center" wrapText="1"/>
    </xf>
    <xf numFmtId="0" fontId="25" fillId="0" borderId="54" xfId="2" applyFont="1" applyBorder="1" applyAlignment="1">
      <alignment horizontal="center" vertical="center" wrapText="1"/>
    </xf>
    <xf numFmtId="0" fontId="14" fillId="0" borderId="26" xfId="2" applyFont="1" applyFill="1" applyBorder="1" applyAlignment="1">
      <alignment horizontal="center" vertical="center" wrapText="1"/>
    </xf>
    <xf numFmtId="0" fontId="14" fillId="0" borderId="27" xfId="2" applyFont="1" applyFill="1" applyBorder="1" applyAlignment="1">
      <alignment horizontal="center" vertical="center" wrapText="1"/>
    </xf>
    <xf numFmtId="0" fontId="14" fillId="0" borderId="60" xfId="2" applyFont="1" applyFill="1" applyBorder="1" applyAlignment="1">
      <alignment horizontal="center" vertical="center" wrapText="1"/>
    </xf>
    <xf numFmtId="0" fontId="14" fillId="0" borderId="94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95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10" fontId="34" fillId="0" borderId="53" xfId="2" applyNumberFormat="1" applyFont="1" applyFill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80" xfId="2" applyFont="1" applyBorder="1" applyAlignment="1">
      <alignment horizontal="center" vertical="center" wrapText="1"/>
    </xf>
    <xf numFmtId="4" fontId="5" fillId="3" borderId="50" xfId="2" applyNumberFormat="1" applyFill="1" applyBorder="1" applyAlignment="1">
      <alignment horizontal="left" vertical="center"/>
    </xf>
    <xf numFmtId="0" fontId="5" fillId="3" borderId="20" xfId="2" applyFill="1" applyBorder="1" applyAlignment="1">
      <alignment horizontal="left" vertical="center"/>
    </xf>
    <xf numFmtId="0" fontId="5" fillId="3" borderId="121" xfId="2" applyFill="1" applyBorder="1" applyAlignment="1">
      <alignment horizontal="center" vertical="center"/>
    </xf>
    <xf numFmtId="0" fontId="5" fillId="3" borderId="62" xfId="2" applyFill="1" applyBorder="1" applyAlignment="1">
      <alignment horizontal="center" vertical="center"/>
    </xf>
    <xf numFmtId="0" fontId="5" fillId="3" borderId="115" xfId="2" applyFill="1" applyBorder="1" applyAlignment="1">
      <alignment horizontal="center" vertical="center"/>
    </xf>
    <xf numFmtId="0" fontId="7" fillId="3" borderId="93" xfId="2" applyFont="1" applyFill="1" applyBorder="1" applyAlignment="1">
      <alignment horizontal="center" vertical="center"/>
    </xf>
    <xf numFmtId="0" fontId="7" fillId="3" borderId="61" xfId="2" applyFont="1" applyFill="1" applyBorder="1" applyAlignment="1">
      <alignment horizontal="center" vertical="center"/>
    </xf>
    <xf numFmtId="0" fontId="7" fillId="3" borderId="65" xfId="2" applyFont="1" applyFill="1" applyBorder="1" applyAlignment="1">
      <alignment horizontal="center" vertical="center"/>
    </xf>
    <xf numFmtId="0" fontId="7" fillId="3" borderId="56" xfId="2" applyFont="1" applyFill="1" applyBorder="1" applyAlignment="1">
      <alignment horizontal="center" vertical="center"/>
    </xf>
    <xf numFmtId="0" fontId="7" fillId="3" borderId="57" xfId="2" applyFont="1" applyFill="1" applyBorder="1" applyAlignment="1">
      <alignment horizontal="center" vertical="center"/>
    </xf>
    <xf numFmtId="164" fontId="5" fillId="3" borderId="50" xfId="8" applyFont="1" applyFill="1" applyBorder="1" applyAlignment="1">
      <alignment horizontal="center" vertical="center" wrapText="1"/>
    </xf>
    <xf numFmtId="164" fontId="5" fillId="3" borderId="20" xfId="8" applyFont="1" applyFill="1" applyBorder="1" applyAlignment="1">
      <alignment horizontal="center" vertical="center" wrapText="1"/>
    </xf>
    <xf numFmtId="0" fontId="14" fillId="0" borderId="20" xfId="2" applyFont="1" applyFill="1" applyBorder="1" applyAlignment="1">
      <alignment horizontal="center" vertical="center"/>
    </xf>
    <xf numFmtId="164" fontId="27" fillId="3" borderId="50" xfId="8" applyFont="1" applyFill="1" applyBorder="1" applyAlignment="1">
      <alignment horizontal="center" vertical="center" wrapText="1"/>
    </xf>
    <xf numFmtId="164" fontId="27" fillId="3" borderId="20" xfId="8" applyFont="1" applyFill="1" applyBorder="1" applyAlignment="1">
      <alignment horizontal="center" vertical="center" wrapText="1"/>
    </xf>
    <xf numFmtId="164" fontId="27" fillId="3" borderId="51" xfId="8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right" vertical="center"/>
    </xf>
    <xf numFmtId="0" fontId="5" fillId="3" borderId="23" xfId="2" applyFont="1" applyFill="1" applyBorder="1" applyAlignment="1">
      <alignment horizontal="right" vertical="center"/>
    </xf>
    <xf numFmtId="177" fontId="5" fillId="3" borderId="20" xfId="2" applyNumberFormat="1" applyFill="1" applyBorder="1" applyAlignment="1">
      <alignment horizontal="center" vertical="center"/>
    </xf>
    <xf numFmtId="177" fontId="5" fillId="3" borderId="51" xfId="2" applyNumberForma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5" fillId="3" borderId="67" xfId="2" applyFill="1" applyBorder="1" applyAlignment="1">
      <alignment horizontal="center" vertical="center"/>
    </xf>
    <xf numFmtId="0" fontId="5" fillId="3" borderId="68" xfId="2" applyFill="1" applyBorder="1" applyAlignment="1">
      <alignment horizontal="center" vertical="center"/>
    </xf>
    <xf numFmtId="0" fontId="5" fillId="3" borderId="113" xfId="2" applyFill="1" applyBorder="1" applyAlignment="1">
      <alignment horizontal="center" vertical="center"/>
    </xf>
    <xf numFmtId="4" fontId="4" fillId="3" borderId="50" xfId="2" applyNumberFormat="1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5" fillId="3" borderId="20" xfId="2" applyFill="1" applyBorder="1" applyAlignment="1">
      <alignment horizontal="center" vertical="center"/>
    </xf>
    <xf numFmtId="179" fontId="5" fillId="3" borderId="20" xfId="7" applyNumberFormat="1" applyFont="1" applyFill="1" applyBorder="1" applyAlignment="1">
      <alignment horizontal="center" vertical="center"/>
    </xf>
    <xf numFmtId="0" fontId="6" fillId="3" borderId="55" xfId="2" applyFont="1" applyFill="1" applyBorder="1" applyAlignment="1">
      <alignment horizontal="right" vertical="center"/>
    </xf>
    <xf numFmtId="0" fontId="6" fillId="3" borderId="56" xfId="2" applyFont="1" applyFill="1" applyBorder="1" applyAlignment="1">
      <alignment horizontal="right" vertical="center"/>
    </xf>
    <xf numFmtId="0" fontId="6" fillId="3" borderId="50" xfId="2" applyFont="1" applyFill="1" applyBorder="1" applyAlignment="1">
      <alignment horizontal="right" vertical="center"/>
    </xf>
    <xf numFmtId="0" fontId="6" fillId="3" borderId="20" xfId="2" applyFont="1" applyFill="1" applyBorder="1" applyAlignment="1">
      <alignment horizontal="right" vertical="center"/>
    </xf>
    <xf numFmtId="0" fontId="6" fillId="3" borderId="52" xfId="2" applyFont="1" applyFill="1" applyBorder="1" applyAlignment="1">
      <alignment horizontal="right" vertical="center"/>
    </xf>
    <xf numFmtId="0" fontId="6" fillId="3" borderId="53" xfId="2" applyFont="1" applyFill="1" applyBorder="1" applyAlignment="1">
      <alignment horizontal="right" vertical="center"/>
    </xf>
    <xf numFmtId="0" fontId="6" fillId="3" borderId="67" xfId="2" applyFont="1" applyFill="1" applyBorder="1" applyAlignment="1">
      <alignment horizontal="right" vertical="center"/>
    </xf>
    <xf numFmtId="0" fontId="6" fillId="3" borderId="68" xfId="2" applyFont="1" applyFill="1" applyBorder="1" applyAlignment="1">
      <alignment horizontal="right" vertical="center"/>
    </xf>
    <xf numFmtId="4" fontId="4" fillId="3" borderId="20" xfId="2" applyNumberFormat="1" applyFont="1" applyFill="1" applyBorder="1" applyAlignment="1">
      <alignment horizontal="center" vertical="center"/>
    </xf>
    <xf numFmtId="0" fontId="6" fillId="3" borderId="50" xfId="2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 wrapText="1"/>
    </xf>
    <xf numFmtId="0" fontId="13" fillId="0" borderId="111" xfId="2" applyFont="1" applyFill="1" applyBorder="1" applyAlignment="1">
      <alignment horizontal="center" vertical="center"/>
    </xf>
    <xf numFmtId="0" fontId="13" fillId="0" borderId="92" xfId="2" applyFont="1" applyFill="1" applyBorder="1" applyAlignment="1">
      <alignment horizontal="center" vertical="center"/>
    </xf>
    <xf numFmtId="0" fontId="13" fillId="0" borderId="112" xfId="2" applyFont="1" applyFill="1" applyBorder="1" applyAlignment="1">
      <alignment horizontal="center" vertical="center"/>
    </xf>
    <xf numFmtId="0" fontId="15" fillId="0" borderId="55" xfId="2" applyFont="1" applyFill="1" applyBorder="1" applyAlignment="1">
      <alignment horizontal="center" vertical="center" wrapText="1"/>
    </xf>
    <xf numFmtId="0" fontId="15" fillId="0" borderId="50" xfId="2" applyFont="1" applyFill="1" applyBorder="1" applyAlignment="1">
      <alignment horizontal="center" vertical="center" wrapText="1"/>
    </xf>
    <xf numFmtId="0" fontId="15" fillId="0" borderId="56" xfId="2" applyFont="1" applyFill="1" applyBorder="1" applyAlignment="1">
      <alignment horizontal="center" vertical="center" wrapText="1"/>
    </xf>
    <xf numFmtId="0" fontId="15" fillId="0" borderId="20" xfId="2" applyFont="1" applyFill="1" applyBorder="1" applyAlignment="1">
      <alignment horizontal="center" vertical="center" wrapText="1"/>
    </xf>
    <xf numFmtId="0" fontId="15" fillId="0" borderId="52" xfId="2" applyFont="1" applyFill="1" applyBorder="1" applyAlignment="1">
      <alignment horizontal="center" vertical="center"/>
    </xf>
    <xf numFmtId="0" fontId="15" fillId="0" borderId="53" xfId="2" applyFont="1" applyFill="1" applyBorder="1" applyAlignment="1">
      <alignment horizontal="center" vertical="center"/>
    </xf>
    <xf numFmtId="4" fontId="15" fillId="0" borderId="53" xfId="2" applyNumberFormat="1" applyFont="1" applyFill="1" applyBorder="1" applyAlignment="1">
      <alignment horizontal="center" vertical="center"/>
    </xf>
    <xf numFmtId="4" fontId="15" fillId="0" borderId="54" xfId="2" applyNumberFormat="1" applyFont="1" applyFill="1" applyBorder="1" applyAlignment="1">
      <alignment horizontal="center" vertical="center"/>
    </xf>
    <xf numFmtId="0" fontId="15" fillId="0" borderId="57" xfId="2" applyFont="1" applyFill="1" applyBorder="1" applyAlignment="1">
      <alignment horizontal="center" vertical="center" wrapText="1"/>
    </xf>
    <xf numFmtId="0" fontId="15" fillId="0" borderId="51" xfId="2" applyFont="1" applyFill="1" applyBorder="1" applyAlignment="1">
      <alignment horizontal="center" vertical="center" wrapText="1"/>
    </xf>
    <xf numFmtId="0" fontId="15" fillId="0" borderId="5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15" fillId="0" borderId="58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59" xfId="2" applyFont="1" applyFill="1" applyBorder="1" applyAlignment="1">
      <alignment horizontal="center" vertical="center"/>
    </xf>
    <xf numFmtId="0" fontId="13" fillId="0" borderId="39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center" vertical="center"/>
    </xf>
    <xf numFmtId="0" fontId="15" fillId="0" borderId="47" xfId="2" applyFont="1" applyFill="1" applyBorder="1" applyAlignment="1">
      <alignment horizontal="center" vertical="center" wrapText="1"/>
    </xf>
    <xf numFmtId="0" fontId="15" fillId="0" borderId="115" xfId="2" applyFont="1" applyFill="1" applyBorder="1" applyAlignment="1">
      <alignment horizontal="center" vertical="center" wrapText="1"/>
    </xf>
    <xf numFmtId="0" fontId="15" fillId="0" borderId="63" xfId="2" applyFont="1" applyFill="1" applyBorder="1" applyAlignment="1">
      <alignment horizontal="center" vertical="center" wrapText="1"/>
    </xf>
    <xf numFmtId="0" fontId="14" fillId="0" borderId="64" xfId="2" applyFont="1" applyFill="1" applyBorder="1" applyAlignment="1">
      <alignment horizontal="center" vertical="center" wrapText="1"/>
    </xf>
    <xf numFmtId="0" fontId="14" fillId="0" borderId="116" xfId="2" applyFont="1" applyFill="1" applyBorder="1" applyAlignment="1">
      <alignment horizontal="center" vertical="center" wrapText="1"/>
    </xf>
    <xf numFmtId="0" fontId="14" fillId="0" borderId="65" xfId="2" applyFont="1" applyFill="1" applyBorder="1" applyAlignment="1">
      <alignment horizontal="center" vertical="center" wrapText="1"/>
    </xf>
    <xf numFmtId="0" fontId="25" fillId="0" borderId="50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 wrapText="1"/>
    </xf>
    <xf numFmtId="0" fontId="25" fillId="0" borderId="51" xfId="2" applyFont="1" applyBorder="1" applyAlignment="1">
      <alignment horizontal="center" vertical="center"/>
    </xf>
    <xf numFmtId="0" fontId="25" fillId="0" borderId="51" xfId="2" applyFont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center" vertical="center" wrapText="1"/>
    </xf>
    <xf numFmtId="0" fontId="16" fillId="0" borderId="51" xfId="2" applyFont="1" applyFill="1" applyBorder="1" applyAlignment="1">
      <alignment horizontal="center" vertical="center" wrapText="1"/>
    </xf>
    <xf numFmtId="0" fontId="16" fillId="0" borderId="53" xfId="2" applyFont="1" applyFill="1" applyBorder="1" applyAlignment="1">
      <alignment horizontal="center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91" xfId="2" applyFont="1" applyFill="1" applyBorder="1" applyAlignment="1">
      <alignment horizontal="center" vertical="center"/>
    </xf>
    <xf numFmtId="0" fontId="16" fillId="0" borderId="128" xfId="2" applyFont="1" applyFill="1" applyBorder="1" applyAlignment="1">
      <alignment horizontal="center" vertical="center"/>
    </xf>
    <xf numFmtId="0" fontId="16" fillId="0" borderId="61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123" xfId="2" applyFont="1" applyFill="1" applyBorder="1" applyAlignment="1">
      <alignment horizontal="center" vertical="center"/>
    </xf>
    <xf numFmtId="0" fontId="16" fillId="0" borderId="124" xfId="2" applyFont="1" applyFill="1" applyBorder="1" applyAlignment="1">
      <alignment horizontal="center" vertical="center"/>
    </xf>
    <xf numFmtId="4" fontId="16" fillId="0" borderId="20" xfId="2" applyNumberFormat="1" applyFont="1" applyFill="1" applyBorder="1" applyAlignment="1">
      <alignment horizontal="left" vertical="center"/>
    </xf>
    <xf numFmtId="0" fontId="25" fillId="0" borderId="12" xfId="97" applyFont="1" applyBorder="1" applyAlignment="1">
      <alignment horizontal="center" vertical="center"/>
    </xf>
    <xf numFmtId="0" fontId="25" fillId="0" borderId="24" xfId="97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56" xfId="97" applyFont="1" applyBorder="1" applyAlignment="1">
      <alignment horizontal="center" vertical="center" wrapText="1"/>
    </xf>
    <xf numFmtId="0" fontId="25" fillId="0" borderId="20" xfId="97" applyFont="1" applyBorder="1" applyAlignment="1">
      <alignment horizontal="center" vertical="center" wrapText="1"/>
    </xf>
    <xf numFmtId="10" fontId="43" fillId="0" borderId="20" xfId="2" applyNumberFormat="1" applyFont="1" applyFill="1" applyBorder="1" applyAlignment="1">
      <alignment horizontal="center" vertical="center"/>
    </xf>
    <xf numFmtId="4" fontId="16" fillId="0" borderId="53" xfId="2" applyNumberFormat="1" applyFont="1" applyFill="1" applyBorder="1" applyAlignment="1">
      <alignment horizontal="left" vertical="center"/>
    </xf>
    <xf numFmtId="10" fontId="43" fillId="0" borderId="53" xfId="2" applyNumberFormat="1" applyFont="1" applyFill="1" applyBorder="1" applyAlignment="1">
      <alignment horizontal="center" vertical="center"/>
    </xf>
    <xf numFmtId="0" fontId="15" fillId="0" borderId="51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3" fillId="0" borderId="84" xfId="2" applyFont="1" applyFill="1" applyBorder="1" applyAlignment="1">
      <alignment horizontal="center" vertical="center"/>
    </xf>
    <xf numFmtId="0" fontId="13" fillId="0" borderId="85" xfId="2" applyFont="1" applyFill="1" applyBorder="1" applyAlignment="1">
      <alignment horizontal="center" vertical="center"/>
    </xf>
    <xf numFmtId="0" fontId="13" fillId="0" borderId="117" xfId="2" applyFont="1" applyFill="1" applyBorder="1" applyAlignment="1">
      <alignment horizontal="center" vertical="center"/>
    </xf>
    <xf numFmtId="0" fontId="13" fillId="0" borderId="86" xfId="2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center" wrapText="1"/>
    </xf>
    <xf numFmtId="0" fontId="14" fillId="0" borderId="81" xfId="2" applyFont="1" applyFill="1" applyBorder="1" applyAlignment="1">
      <alignment horizontal="center" vertical="center" wrapText="1"/>
    </xf>
    <xf numFmtId="0" fontId="15" fillId="0" borderId="54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55" xfId="2" applyFont="1" applyFill="1" applyBorder="1" applyAlignment="1">
      <alignment horizontal="center" vertical="center"/>
    </xf>
    <xf numFmtId="0" fontId="15" fillId="0" borderId="57" xfId="2" applyFont="1" applyFill="1" applyBorder="1" applyAlignment="1">
      <alignment horizontal="center" vertical="center"/>
    </xf>
    <xf numFmtId="0" fontId="15" fillId="0" borderId="56" xfId="2" applyFont="1" applyFill="1" applyBorder="1" applyAlignment="1">
      <alignment horizontal="center" vertical="center"/>
    </xf>
    <xf numFmtId="0" fontId="13" fillId="0" borderId="119" xfId="2" applyFont="1" applyFill="1" applyBorder="1" applyAlignment="1">
      <alignment horizontal="center" vertical="center"/>
    </xf>
    <xf numFmtId="0" fontId="13" fillId="0" borderId="46" xfId="2" applyFont="1" applyFill="1" applyBorder="1" applyAlignment="1">
      <alignment horizontal="center" vertical="center"/>
    </xf>
    <xf numFmtId="0" fontId="13" fillId="0" borderId="118" xfId="2" applyFont="1" applyFill="1" applyBorder="1" applyAlignment="1">
      <alignment horizontal="center" vertical="center"/>
    </xf>
    <xf numFmtId="0" fontId="34" fillId="0" borderId="52" xfId="0" applyFont="1" applyFill="1" applyBorder="1" applyAlignment="1">
      <alignment horizontal="left" vertical="center" wrapText="1"/>
    </xf>
    <xf numFmtId="0" fontId="34" fillId="0" borderId="53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34" fillId="0" borderId="50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12" fillId="0" borderId="12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10" fontId="14" fillId="0" borderId="51" xfId="2" applyNumberFormat="1" applyFont="1" applyFill="1" applyBorder="1" applyAlignment="1">
      <alignment horizontal="center" vertical="center" wrapText="1"/>
    </xf>
    <xf numFmtId="10" fontId="14" fillId="0" borderId="54" xfId="2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3" fillId="0" borderId="28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30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13" fillId="0" borderId="2" xfId="2" applyFont="1" applyFill="1" applyBorder="1" applyAlignment="1">
      <alignment horizontal="left"/>
    </xf>
    <xf numFmtId="0" fontId="25" fillId="0" borderId="20" xfId="2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center" vertical="center" wrapText="1"/>
    </xf>
    <xf numFmtId="0" fontId="25" fillId="0" borderId="53" xfId="2" applyFont="1" applyFill="1" applyBorder="1" applyAlignment="1">
      <alignment horizontal="center" vertical="center" wrapText="1"/>
    </xf>
    <xf numFmtId="0" fontId="25" fillId="0" borderId="54" xfId="2" applyFont="1" applyFill="1" applyBorder="1" applyAlignment="1">
      <alignment horizontal="center" vertical="center" wrapText="1"/>
    </xf>
    <xf numFmtId="10" fontId="36" fillId="0" borderId="53" xfId="2" applyNumberFormat="1" applyFont="1" applyFill="1" applyBorder="1" applyAlignment="1">
      <alignment horizontal="center" vertical="center"/>
    </xf>
    <xf numFmtId="0" fontId="43" fillId="3" borderId="18" xfId="1" applyFont="1" applyFill="1" applyBorder="1" applyAlignment="1">
      <alignment horizontal="left" vertical="center" wrapText="1" shrinkToFit="1"/>
    </xf>
    <xf numFmtId="0" fontId="43" fillId="3" borderId="6" xfId="1" applyFont="1" applyFill="1" applyBorder="1" applyAlignment="1">
      <alignment horizontal="left" vertical="center" wrapText="1" shrinkToFit="1"/>
    </xf>
    <xf numFmtId="0" fontId="43" fillId="3" borderId="17" xfId="1" applyFont="1" applyFill="1" applyBorder="1" applyAlignment="1">
      <alignment horizontal="left" vertical="center" wrapText="1" shrinkToFit="1"/>
    </xf>
    <xf numFmtId="0" fontId="42" fillId="3" borderId="15" xfId="1" applyFont="1" applyFill="1" applyBorder="1" applyAlignment="1">
      <alignment horizontal="center" vertical="center"/>
    </xf>
    <xf numFmtId="0" fontId="42" fillId="3" borderId="36" xfId="1" applyFont="1" applyFill="1" applyBorder="1" applyAlignment="1">
      <alignment horizontal="center" vertical="center"/>
    </xf>
    <xf numFmtId="0" fontId="42" fillId="3" borderId="16" xfId="1" applyFont="1" applyFill="1" applyBorder="1" applyAlignment="1">
      <alignment horizontal="center" vertical="center"/>
    </xf>
    <xf numFmtId="0" fontId="43" fillId="3" borderId="18" xfId="1" applyFont="1" applyFill="1" applyBorder="1" applyAlignment="1">
      <alignment horizontal="left" vertical="center"/>
    </xf>
    <xf numFmtId="0" fontId="43" fillId="3" borderId="6" xfId="1" applyFont="1" applyFill="1" applyBorder="1" applyAlignment="1">
      <alignment horizontal="left" vertical="center"/>
    </xf>
    <xf numFmtId="0" fontId="43" fillId="3" borderId="17" xfId="1" applyFont="1" applyFill="1" applyBorder="1" applyAlignment="1">
      <alignment horizontal="left" vertical="center"/>
    </xf>
    <xf numFmtId="0" fontId="42" fillId="3" borderId="78" xfId="1" applyFont="1" applyFill="1" applyBorder="1" applyAlignment="1">
      <alignment horizontal="center" vertical="center"/>
    </xf>
    <xf numFmtId="0" fontId="42" fillId="3" borderId="35" xfId="1" applyFont="1" applyFill="1" applyBorder="1" applyAlignment="1">
      <alignment horizontal="center" vertical="center"/>
    </xf>
    <xf numFmtId="0" fontId="42" fillId="3" borderId="77" xfId="1" applyFont="1" applyFill="1" applyBorder="1" applyAlignment="1">
      <alignment horizontal="center" vertical="center"/>
    </xf>
    <xf numFmtId="0" fontId="42" fillId="3" borderId="33" xfId="1" applyFont="1" applyFill="1" applyBorder="1" applyAlignment="1">
      <alignment horizontal="center" vertical="center"/>
    </xf>
    <xf numFmtId="0" fontId="42" fillId="3" borderId="82" xfId="1" applyFont="1" applyFill="1" applyBorder="1" applyAlignment="1">
      <alignment horizontal="center" vertical="center"/>
    </xf>
    <xf numFmtId="0" fontId="42" fillId="3" borderId="83" xfId="1" applyFont="1" applyFill="1" applyBorder="1" applyAlignment="1">
      <alignment horizontal="center" vertical="center"/>
    </xf>
    <xf numFmtId="0" fontId="29" fillId="0" borderId="28" xfId="1" applyFont="1" applyBorder="1" applyAlignment="1">
      <alignment horizontal="left" vertical="center"/>
    </xf>
    <xf numFmtId="0" fontId="29" fillId="0" borderId="29" xfId="1" applyFont="1" applyBorder="1" applyAlignment="1">
      <alignment horizontal="left" vertical="center"/>
    </xf>
    <xf numFmtId="0" fontId="29" fillId="0" borderId="30" xfId="1" applyFont="1" applyBorder="1" applyAlignment="1">
      <alignment horizontal="left" vertical="center"/>
    </xf>
    <xf numFmtId="0" fontId="29" fillId="0" borderId="12" xfId="1" applyFont="1" applyBorder="1" applyAlignment="1">
      <alignment horizontal="left" vertical="center"/>
    </xf>
    <xf numFmtId="0" fontId="29" fillId="0" borderId="11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89" xfId="1" applyFont="1" applyBorder="1" applyAlignment="1">
      <alignment horizontal="left" vertical="center"/>
    </xf>
    <xf numFmtId="0" fontId="29" fillId="0" borderId="90" xfId="1" applyFont="1" applyBorder="1" applyAlignment="1">
      <alignment horizontal="left" vertical="center"/>
    </xf>
    <xf numFmtId="0" fontId="42" fillId="3" borderId="18" xfId="1" applyFont="1" applyFill="1" applyBorder="1" applyAlignment="1">
      <alignment horizontal="left" vertical="center"/>
    </xf>
    <xf numFmtId="0" fontId="42" fillId="3" borderId="6" xfId="1" applyFont="1" applyFill="1" applyBorder="1" applyAlignment="1">
      <alignment horizontal="left" vertical="center"/>
    </xf>
    <xf numFmtId="0" fontId="42" fillId="3" borderId="17" xfId="1" applyFont="1" applyFill="1" applyBorder="1" applyAlignment="1">
      <alignment horizontal="left" vertical="center"/>
    </xf>
    <xf numFmtId="0" fontId="42" fillId="3" borderId="78" xfId="1" applyFont="1" applyFill="1" applyBorder="1" applyAlignment="1">
      <alignment horizontal="left" vertical="center"/>
    </xf>
    <xf numFmtId="0" fontId="42" fillId="3" borderId="35" xfId="1" applyFont="1" applyFill="1" applyBorder="1" applyAlignment="1">
      <alignment horizontal="left" vertical="center"/>
    </xf>
    <xf numFmtId="0" fontId="42" fillId="3" borderId="77" xfId="1" applyFont="1" applyFill="1" applyBorder="1" applyAlignment="1">
      <alignment horizontal="left" vertical="center"/>
    </xf>
    <xf numFmtId="0" fontId="43" fillId="3" borderId="1" xfId="1" applyFont="1" applyFill="1" applyBorder="1" applyAlignment="1">
      <alignment horizontal="center" vertical="center"/>
    </xf>
    <xf numFmtId="0" fontId="43" fillId="3" borderId="0" xfId="1" applyFont="1" applyFill="1" applyBorder="1" applyAlignment="1">
      <alignment horizontal="center" vertical="center"/>
    </xf>
    <xf numFmtId="0" fontId="43" fillId="3" borderId="2" xfId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10" fontId="15" fillId="0" borderId="64" xfId="5" applyNumberFormat="1" applyFont="1" applyFill="1" applyBorder="1" applyAlignment="1">
      <alignment horizontal="right" vertical="center" wrapText="1"/>
    </xf>
    <xf numFmtId="10" fontId="15" fillId="0" borderId="116" xfId="5" applyNumberFormat="1" applyFont="1" applyFill="1" applyBorder="1" applyAlignment="1">
      <alignment horizontal="right" vertical="center" wrapText="1"/>
    </xf>
    <xf numFmtId="10" fontId="15" fillId="0" borderId="49" xfId="5" applyNumberFormat="1" applyFont="1" applyFill="1" applyBorder="1" applyAlignment="1">
      <alignment horizontal="right" vertical="center" wrapText="1"/>
    </xf>
    <xf numFmtId="0" fontId="12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3" fillId="0" borderId="121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10" fontId="35" fillId="0" borderId="116" xfId="5" applyNumberFormat="1" applyFont="1" applyFill="1" applyBorder="1" applyAlignment="1">
      <alignment horizontal="right" vertical="center" wrapText="1"/>
    </xf>
    <xf numFmtId="10" fontId="35" fillId="0" borderId="49" xfId="5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horizontal="center" vertical="center" wrapText="1"/>
    </xf>
    <xf numFmtId="4" fontId="14" fillId="0" borderId="53" xfId="0" applyNumberFormat="1" applyFont="1" applyFill="1" applyBorder="1" applyAlignment="1">
      <alignment horizontal="left" vertical="center"/>
    </xf>
    <xf numFmtId="10" fontId="15" fillId="0" borderId="116" xfId="5" applyNumberFormat="1" applyFont="1" applyFill="1" applyBorder="1" applyAlignment="1">
      <alignment horizontal="center" vertical="center" wrapText="1"/>
    </xf>
    <xf numFmtId="10" fontId="15" fillId="0" borderId="49" xfId="5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14" fillId="0" borderId="6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5" xfId="0" applyNumberFormat="1" applyFont="1" applyFill="1" applyBorder="1" applyAlignment="1">
      <alignment horizontal="center" vertical="center" wrapText="1"/>
    </xf>
    <xf numFmtId="0" fontId="14" fillId="0" borderId="80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49" fontId="14" fillId="0" borderId="81" xfId="0" applyNumberFormat="1" applyFont="1" applyFill="1" applyBorder="1" applyAlignment="1">
      <alignment horizontal="center" vertical="center"/>
    </xf>
    <xf numFmtId="49" fontId="14" fillId="0" borderId="113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12" fillId="0" borderId="11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0" xfId="7" applyNumberFormat="1" applyFont="1" applyFill="1" applyBorder="1" applyAlignment="1">
      <alignment horizontal="center" vertical="center"/>
    </xf>
    <xf numFmtId="0" fontId="14" fillId="0" borderId="21" xfId="7" applyNumberFormat="1" applyFont="1" applyFill="1" applyBorder="1" applyAlignment="1">
      <alignment horizontal="center" vertical="center"/>
    </xf>
    <xf numFmtId="0" fontId="14" fillId="0" borderId="23" xfId="7" applyNumberFormat="1" applyFont="1" applyFill="1" applyBorder="1" applyAlignment="1">
      <alignment horizontal="center" vertical="center"/>
    </xf>
    <xf numFmtId="9" fontId="34" fillId="0" borderId="20" xfId="5" applyFont="1" applyFill="1" applyBorder="1" applyAlignment="1">
      <alignment horizontal="center" vertical="center"/>
    </xf>
    <xf numFmtId="0" fontId="34" fillId="0" borderId="20" xfId="7" applyNumberFormat="1" applyFont="1" applyFill="1" applyBorder="1" applyAlignment="1">
      <alignment horizontal="center" vertical="center"/>
    </xf>
    <xf numFmtId="0" fontId="34" fillId="0" borderId="21" xfId="7" applyNumberFormat="1" applyFont="1" applyFill="1" applyBorder="1" applyAlignment="1">
      <alignment horizontal="center" vertical="center"/>
    </xf>
    <xf numFmtId="0" fontId="34" fillId="0" borderId="23" xfId="7" applyNumberFormat="1" applyFont="1" applyFill="1" applyBorder="1" applyAlignment="1">
      <alignment horizontal="center" vertical="center"/>
    </xf>
    <xf numFmtId="10" fontId="35" fillId="0" borderId="94" xfId="5" applyNumberFormat="1" applyFont="1" applyFill="1" applyBorder="1" applyAlignment="1">
      <alignment horizontal="right" vertical="center" wrapText="1"/>
    </xf>
    <xf numFmtId="10" fontId="35" fillId="0" borderId="127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10" fontId="15" fillId="0" borderId="94" xfId="5" applyNumberFormat="1" applyFont="1" applyFill="1" applyBorder="1" applyAlignment="1">
      <alignment horizontal="right" vertical="center" wrapText="1"/>
    </xf>
    <xf numFmtId="10" fontId="15" fillId="0" borderId="127" xfId="5" applyNumberFormat="1" applyFont="1" applyFill="1" applyBorder="1" applyAlignment="1">
      <alignment horizontal="right" vertical="center" wrapText="1"/>
    </xf>
    <xf numFmtId="0" fontId="34" fillId="3" borderId="21" xfId="0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 wrapText="1"/>
    </xf>
    <xf numFmtId="4" fontId="14" fillId="3" borderId="53" xfId="0" applyNumberFormat="1" applyFont="1" applyFill="1" applyBorder="1" applyAlignment="1">
      <alignment horizontal="left" vertical="center"/>
    </xf>
    <xf numFmtId="10" fontId="15" fillId="0" borderId="26" xfId="5" applyNumberFormat="1" applyFont="1" applyFill="1" applyBorder="1" applyAlignment="1">
      <alignment horizontal="center" vertical="center" wrapText="1"/>
    </xf>
    <xf numFmtId="10" fontId="15" fillId="0" borderId="94" xfId="5" applyNumberFormat="1" applyFont="1" applyFill="1" applyBorder="1" applyAlignment="1">
      <alignment horizontal="center" vertical="center" wrapText="1"/>
    </xf>
    <xf numFmtId="10" fontId="15" fillId="0" borderId="127" xfId="5" applyNumberFormat="1" applyFont="1" applyFill="1" applyBorder="1" applyAlignment="1">
      <alignment horizontal="center" vertical="center" wrapText="1"/>
    </xf>
    <xf numFmtId="0" fontId="83" fillId="0" borderId="55" xfId="0" applyFont="1" applyFill="1" applyBorder="1" applyAlignment="1">
      <alignment horizontal="center" vertical="center" wrapText="1"/>
    </xf>
    <xf numFmtId="0" fontId="83" fillId="0" borderId="56" xfId="0" applyFont="1" applyFill="1" applyBorder="1" applyAlignment="1">
      <alignment horizontal="center" vertical="center" wrapText="1"/>
    </xf>
    <xf numFmtId="0" fontId="83" fillId="0" borderId="50" xfId="0" applyFont="1" applyFill="1" applyBorder="1" applyAlignment="1">
      <alignment horizontal="center" vertical="center" wrapText="1"/>
    </xf>
    <xf numFmtId="0" fontId="83" fillId="0" borderId="20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4" fillId="0" borderId="124" xfId="2" applyFont="1" applyFill="1" applyBorder="1" applyAlignment="1">
      <alignment horizontal="center" vertical="center" wrapText="1"/>
    </xf>
    <xf numFmtId="0" fontId="14" fillId="0" borderId="45" xfId="2" applyFont="1" applyFill="1" applyBorder="1" applyAlignment="1">
      <alignment horizontal="center" vertical="center" wrapText="1"/>
    </xf>
    <xf numFmtId="0" fontId="14" fillId="0" borderId="49" xfId="2" applyFont="1" applyFill="1" applyBorder="1" applyAlignment="1">
      <alignment horizontal="center" vertical="center" wrapText="1"/>
    </xf>
    <xf numFmtId="0" fontId="14" fillId="0" borderId="23" xfId="2" applyFont="1" applyFill="1" applyBorder="1" applyAlignment="1">
      <alignment horizontal="center" vertical="center" wrapText="1"/>
    </xf>
    <xf numFmtId="10" fontId="34" fillId="0" borderId="21" xfId="2" applyNumberFormat="1" applyFont="1" applyFill="1" applyBorder="1" applyAlignment="1">
      <alignment horizontal="center" vertical="center"/>
    </xf>
    <xf numFmtId="10" fontId="34" fillId="0" borderId="22" xfId="2" applyNumberFormat="1" applyFont="1" applyFill="1" applyBorder="1" applyAlignment="1">
      <alignment horizontal="center" vertical="center"/>
    </xf>
    <xf numFmtId="10" fontId="34" fillId="0" borderId="23" xfId="2" applyNumberFormat="1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49" fontId="10" fillId="0" borderId="55" xfId="0" applyNumberFormat="1" applyFont="1" applyFill="1" applyBorder="1" applyAlignment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/>
    </xf>
    <xf numFmtId="0" fontId="14" fillId="0" borderId="53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4" fontId="14" fillId="0" borderId="81" xfId="2" applyNumberFormat="1" applyFont="1" applyFill="1" applyBorder="1" applyAlignment="1">
      <alignment horizontal="left" vertical="center"/>
    </xf>
    <xf numFmtId="4" fontId="14" fillId="0" borderId="68" xfId="2" applyNumberFormat="1" applyFont="1" applyFill="1" applyBorder="1" applyAlignment="1">
      <alignment horizontal="left" vertical="center"/>
    </xf>
    <xf numFmtId="4" fontId="14" fillId="0" borderId="113" xfId="2" applyNumberFormat="1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right" vertical="center"/>
    </xf>
    <xf numFmtId="0" fontId="6" fillId="2" borderId="37" xfId="0" applyFont="1" applyFill="1" applyBorder="1" applyAlignment="1">
      <alignment horizontal="right" vertical="center"/>
    </xf>
    <xf numFmtId="0" fontId="6" fillId="2" borderId="38" xfId="0" applyFont="1" applyFill="1" applyBorder="1" applyAlignment="1">
      <alignment horizontal="right" vertical="center"/>
    </xf>
    <xf numFmtId="49" fontId="10" fillId="0" borderId="31" xfId="0" applyNumberFormat="1" applyFont="1" applyFill="1" applyBorder="1" applyAlignment="1">
      <alignment horizontal="center" vertical="center"/>
    </xf>
    <xf numFmtId="49" fontId="10" fillId="0" borderId="42" xfId="0" applyNumberFormat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35" fillId="0" borderId="52" xfId="0" applyFont="1" applyBorder="1" applyAlignment="1">
      <alignment horizontal="left"/>
    </xf>
    <xf numFmtId="0" fontId="35" fillId="0" borderId="53" xfId="0" applyFont="1" applyBorder="1" applyAlignment="1">
      <alignment horizontal="left"/>
    </xf>
    <xf numFmtId="0" fontId="34" fillId="0" borderId="50" xfId="0" applyFont="1" applyBorder="1" applyAlignment="1">
      <alignment horizontal="left"/>
    </xf>
    <xf numFmtId="0" fontId="34" fillId="0" borderId="20" xfId="0" applyFont="1" applyBorder="1" applyAlignment="1">
      <alignment horizontal="left"/>
    </xf>
    <xf numFmtId="0" fontId="35" fillId="0" borderId="55" xfId="0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15" fillId="0" borderId="20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113" xfId="0" applyFont="1" applyFill="1" applyBorder="1" applyAlignment="1">
      <alignment horizontal="center" vertical="center"/>
    </xf>
    <xf numFmtId="0" fontId="25" fillId="0" borderId="20" xfId="97" applyFont="1" applyFill="1" applyBorder="1" applyAlignment="1">
      <alignment horizontal="center" vertical="center"/>
    </xf>
    <xf numFmtId="0" fontId="25" fillId="0" borderId="20" xfId="97" applyFont="1" applyFill="1" applyBorder="1" applyAlignment="1">
      <alignment horizontal="left" vertical="center"/>
    </xf>
    <xf numFmtId="0" fontId="25" fillId="0" borderId="51" xfId="97" applyFont="1" applyFill="1" applyBorder="1" applyAlignment="1">
      <alignment horizontal="left" vertical="center"/>
    </xf>
    <xf numFmtId="0" fontId="29" fillId="33" borderId="89" xfId="1" applyFont="1" applyFill="1" applyBorder="1" applyAlignment="1">
      <alignment horizontal="left" vertical="center" wrapText="1"/>
    </xf>
    <xf numFmtId="49" fontId="25" fillId="0" borderId="22" xfId="0" applyNumberFormat="1" applyFont="1" applyFill="1" applyBorder="1" applyAlignment="1">
      <alignment horizontal="left" vertical="center"/>
    </xf>
    <xf numFmtId="49" fontId="25" fillId="0" borderId="59" xfId="0" applyNumberFormat="1" applyFont="1" applyFill="1" applyBorder="1" applyAlignment="1">
      <alignment horizontal="left" vertical="center"/>
    </xf>
    <xf numFmtId="0" fontId="29" fillId="33" borderId="89" xfId="1" applyFont="1" applyFill="1" applyBorder="1" applyAlignment="1">
      <alignment horizontal="left" vertical="center"/>
    </xf>
    <xf numFmtId="0" fontId="29" fillId="0" borderId="125" xfId="1" applyFont="1" applyBorder="1" applyAlignment="1">
      <alignment horizontal="left" vertical="center"/>
    </xf>
    <xf numFmtId="0" fontId="29" fillId="0" borderId="36" xfId="1" applyFont="1" applyBorder="1" applyAlignment="1">
      <alignment horizontal="left" vertical="center"/>
    </xf>
    <xf numFmtId="0" fontId="29" fillId="0" borderId="126" xfId="1" applyFont="1" applyBorder="1" applyAlignment="1">
      <alignment horizontal="left" vertical="center"/>
    </xf>
    <xf numFmtId="0" fontId="29" fillId="33" borderId="89" xfId="1" applyFont="1" applyFill="1" applyBorder="1" applyAlignment="1">
      <alignment horizontal="left" vertical="top" wrapText="1"/>
    </xf>
    <xf numFmtId="0" fontId="13" fillId="0" borderId="58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center" vertical="center" wrapText="1"/>
    </xf>
    <xf numFmtId="0" fontId="13" fillId="3" borderId="88" xfId="97" applyFont="1" applyFill="1" applyBorder="1" applyAlignment="1">
      <alignment horizontal="center" vertical="center"/>
    </xf>
    <xf numFmtId="0" fontId="13" fillId="3" borderId="89" xfId="97" applyFont="1" applyFill="1" applyBorder="1" applyAlignment="1">
      <alignment horizontal="center" vertical="center"/>
    </xf>
    <xf numFmtId="0" fontId="13" fillId="3" borderId="90" xfId="97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left" vertical="center"/>
    </xf>
    <xf numFmtId="0" fontId="8" fillId="0" borderId="5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 wrapText="1"/>
    </xf>
    <xf numFmtId="0" fontId="34" fillId="3" borderId="0" xfId="1" applyFont="1" applyFill="1" applyBorder="1" applyAlignment="1">
      <alignment horizontal="center" vertical="center" wrapText="1"/>
    </xf>
    <xf numFmtId="0" fontId="57" fillId="0" borderId="47" xfId="1" applyFont="1" applyBorder="1" applyAlignment="1">
      <alignment horizontal="center" vertical="center"/>
    </xf>
    <xf numFmtId="0" fontId="57" fillId="0" borderId="62" xfId="1" applyFont="1" applyBorder="1" applyAlignment="1">
      <alignment horizontal="center" vertical="center"/>
    </xf>
    <xf numFmtId="0" fontId="57" fillId="0" borderId="115" xfId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49" fillId="0" borderId="55" xfId="0" applyNumberFormat="1" applyFont="1" applyFill="1" applyBorder="1" applyAlignment="1">
      <alignment horizontal="center"/>
    </xf>
    <xf numFmtId="1" fontId="49" fillId="0" borderId="52" xfId="0" applyNumberFormat="1" applyFont="1" applyFill="1" applyBorder="1" applyAlignment="1">
      <alignment horizontal="center"/>
    </xf>
    <xf numFmtId="1" fontId="49" fillId="0" borderId="46" xfId="0" applyNumberFormat="1" applyFont="1" applyFill="1" applyBorder="1" applyAlignment="1">
      <alignment horizontal="left" vertical="center"/>
    </xf>
    <xf numFmtId="1" fontId="49" fillId="0" borderId="61" xfId="0" applyNumberFormat="1" applyFont="1" applyFill="1" applyBorder="1" applyAlignment="1">
      <alignment horizontal="left" vertical="center"/>
    </xf>
    <xf numFmtId="40" fontId="49" fillId="0" borderId="46" xfId="7" applyNumberFormat="1" applyFont="1" applyFill="1" applyBorder="1" applyAlignment="1">
      <alignment horizontal="center" vertical="center"/>
    </xf>
    <xf numFmtId="40" fontId="49" fillId="0" borderId="61" xfId="7" applyNumberFormat="1" applyFont="1" applyFill="1" applyBorder="1" applyAlignment="1">
      <alignment horizontal="center" vertical="center"/>
    </xf>
    <xf numFmtId="167" fontId="49" fillId="0" borderId="53" xfId="7" quotePrefix="1" applyNumberFormat="1" applyFont="1" applyFill="1" applyBorder="1" applyAlignment="1">
      <alignment vertical="center"/>
    </xf>
    <xf numFmtId="167" fontId="49" fillId="0" borderId="53" xfId="7" quotePrefix="1" applyNumberFormat="1" applyFont="1" applyFill="1" applyBorder="1" applyAlignment="1">
      <alignment horizontal="center"/>
    </xf>
    <xf numFmtId="40" fontId="50" fillId="0" borderId="47" xfId="7" applyNumberFormat="1" applyFont="1" applyFill="1" applyBorder="1" applyAlignment="1">
      <alignment horizontal="center"/>
    </xf>
    <xf numFmtId="40" fontId="50" fillId="0" borderId="62" xfId="7" applyNumberFormat="1" applyFont="1" applyFill="1" applyBorder="1" applyAlignment="1">
      <alignment horizontal="center"/>
    </xf>
    <xf numFmtId="40" fontId="49" fillId="0" borderId="20" xfId="7" applyNumberFormat="1" applyFont="1" applyFill="1" applyBorder="1" applyAlignment="1">
      <alignment horizontal="center"/>
    </xf>
    <xf numFmtId="40" fontId="51" fillId="0" borderId="20" xfId="7" applyNumberFormat="1" applyFont="1" applyBorder="1" applyAlignment="1">
      <alignment horizontal="right"/>
    </xf>
    <xf numFmtId="1" fontId="51" fillId="0" borderId="58" xfId="0" applyNumberFormat="1" applyFont="1" applyBorder="1" applyAlignment="1">
      <alignment horizontal="left"/>
    </xf>
    <xf numFmtId="1" fontId="51" fillId="0" borderId="20" xfId="0" applyNumberFormat="1" applyFont="1" applyBorder="1" applyAlignment="1">
      <alignment horizontal="left"/>
    </xf>
    <xf numFmtId="1" fontId="51" fillId="0" borderId="50" xfId="0" applyNumberFormat="1" applyFont="1" applyBorder="1" applyAlignment="1">
      <alignment horizontal="left"/>
    </xf>
    <xf numFmtId="40" fontId="49" fillId="0" borderId="20" xfId="7" applyNumberFormat="1" applyFont="1" applyBorder="1" applyAlignment="1">
      <alignment horizontal="right" vertical="center"/>
    </xf>
    <xf numFmtId="40" fontId="51" fillId="0" borderId="20" xfId="7" applyNumberFormat="1" applyFont="1" applyFill="1" applyBorder="1" applyAlignment="1">
      <alignment horizontal="center"/>
    </xf>
    <xf numFmtId="40" fontId="33" fillId="0" borderId="64" xfId="0" applyNumberFormat="1" applyFont="1" applyFill="1" applyBorder="1" applyAlignment="1">
      <alignment horizontal="center" vertical="center"/>
    </xf>
    <xf numFmtId="40" fontId="33" fillId="0" borderId="65" xfId="0" applyNumberFormat="1" applyFont="1" applyFill="1" applyBorder="1" applyAlignment="1">
      <alignment horizontal="center" vertical="center"/>
    </xf>
    <xf numFmtId="40" fontId="51" fillId="0" borderId="64" xfId="7" applyNumberFormat="1" applyFont="1" applyFill="1" applyBorder="1" applyAlignment="1">
      <alignment horizontal="center" vertical="center"/>
    </xf>
    <xf numFmtId="40" fontId="51" fillId="0" borderId="49" xfId="7" applyNumberFormat="1" applyFont="1" applyFill="1" applyBorder="1" applyAlignment="1">
      <alignment horizontal="center" vertical="center"/>
    </xf>
    <xf numFmtId="175" fontId="33" fillId="0" borderId="20" xfId="0" applyNumberFormat="1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89" fillId="0" borderId="88" xfId="0" applyFont="1" applyFill="1" applyBorder="1" applyAlignment="1">
      <alignment horizontal="center" vertical="center"/>
    </xf>
    <xf numFmtId="0" fontId="89" fillId="0" borderId="89" xfId="0" applyFont="1" applyFill="1" applyBorder="1" applyAlignment="1">
      <alignment horizontal="center" vertical="center"/>
    </xf>
    <xf numFmtId="0" fontId="89" fillId="0" borderId="90" xfId="0" applyFont="1" applyFill="1" applyBorder="1" applyAlignment="1">
      <alignment horizontal="center" vertical="center"/>
    </xf>
    <xf numFmtId="0" fontId="27" fillId="0" borderId="50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51" xfId="0" applyFont="1" applyBorder="1" applyAlignment="1">
      <alignment horizontal="left" vertical="center" wrapText="1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89" fillId="0" borderId="130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1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105"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20% - Ênfase1 2" xfId="20"/>
    <cellStyle name="20% - Ênfase2 2" xfId="21"/>
    <cellStyle name="20% - Ênfase3 2" xfId="22"/>
    <cellStyle name="20% - Ênfase4 2" xfId="23"/>
    <cellStyle name="20% - Ênfase5 2" xfId="24"/>
    <cellStyle name="20% - Ênfase6 2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Ênfase1 2" xfId="32"/>
    <cellStyle name="40% - Ênfase2 2" xfId="33"/>
    <cellStyle name="40% - Ênfase3 2" xfId="34"/>
    <cellStyle name="40% - Ênfase4 2" xfId="35"/>
    <cellStyle name="40% - Ênfase5 2" xfId="36"/>
    <cellStyle name="40% - Ênfase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Ênfase1 2" xfId="44"/>
    <cellStyle name="60% - Ênfase2 2" xfId="45"/>
    <cellStyle name="60% - Ênfase3 2" xfId="46"/>
    <cellStyle name="60% - Ênfase4 2" xfId="47"/>
    <cellStyle name="60% - Ênfase5 2" xfId="48"/>
    <cellStyle name="60% - Ênfase6 2" xfId="49"/>
    <cellStyle name="Accent1" xfId="50"/>
    <cellStyle name="Accent2" xfId="51"/>
    <cellStyle name="Accent3" xfId="52"/>
    <cellStyle name="Accent4" xfId="53"/>
    <cellStyle name="Accent5" xfId="54"/>
    <cellStyle name="Accent6" xfId="55"/>
    <cellStyle name="Bad" xfId="56"/>
    <cellStyle name="Bom 2" xfId="57"/>
    <cellStyle name="Calculation" xfId="58"/>
    <cellStyle name="Cálculo 2" xfId="59"/>
    <cellStyle name="Célula de Verificação 2" xfId="60"/>
    <cellStyle name="Célula Vinculada 2" xfId="61"/>
    <cellStyle name="Check Cell" xfId="62"/>
    <cellStyle name="Ênfase1 2" xfId="63"/>
    <cellStyle name="Ênfase2 2" xfId="64"/>
    <cellStyle name="Ênfase3 2" xfId="65"/>
    <cellStyle name="Ênfase4 2" xfId="66"/>
    <cellStyle name="Ênfase5 2" xfId="67"/>
    <cellStyle name="Ênfase6 2" xfId="68"/>
    <cellStyle name="Entrada 2" xfId="69"/>
    <cellStyle name="Excel Built-in Normal" xfId="1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correto 2" xfId="76"/>
    <cellStyle name="Input" xfId="77"/>
    <cellStyle name="Linked Cell" xfId="78"/>
    <cellStyle name="Moeda 2" xfId="99"/>
    <cellStyle name="Moeda 3" xfId="13"/>
    <cellStyle name="Neutra 2" xfId="79"/>
    <cellStyle name="Neutral" xfId="80"/>
    <cellStyle name="Normal" xfId="0" builtinId="0"/>
    <cellStyle name="Normal 10" xfId="104"/>
    <cellStyle name="Normal 2" xfId="2"/>
    <cellStyle name="Normal 2 2" xfId="97"/>
    <cellStyle name="Normal 2 2 2" xfId="103"/>
    <cellStyle name="Normal 3" xfId="3"/>
    <cellStyle name="Normal 4" xfId="95"/>
    <cellStyle name="Normal 5" xfId="98"/>
    <cellStyle name="Normal 6" xfId="102"/>
    <cellStyle name="Normal_Pesquisa no referencial 10 de maio de 2013" xfId="100"/>
    <cellStyle name="Normal_Plhanilhas  750" xfId="4"/>
    <cellStyle name="Normal_Plhanilhas  750 2" xfId="12"/>
    <cellStyle name="Nota 2" xfId="81"/>
    <cellStyle name="Nota 3" xfId="96"/>
    <cellStyle name="Note" xfId="82"/>
    <cellStyle name="Output" xfId="83"/>
    <cellStyle name="Porcentagem" xfId="5" builtinId="5"/>
    <cellStyle name="Porcentagem 2" xfId="6"/>
    <cellStyle name="Saída 2" xfId="84"/>
    <cellStyle name="Separador de milhares 2" xfId="8"/>
    <cellStyle name="Separador de milhares 3" xfId="9"/>
    <cellStyle name="Separador de milhares 4" xfId="10"/>
    <cellStyle name="Texto de Aviso 2" xfId="85"/>
    <cellStyle name="Texto Explicativo 2" xfId="86"/>
    <cellStyle name="Title" xfId="87"/>
    <cellStyle name="Título 1 2" xfId="89"/>
    <cellStyle name="Título 2 2" xfId="90"/>
    <cellStyle name="Título 3 2" xfId="91"/>
    <cellStyle name="Título 4 2" xfId="92"/>
    <cellStyle name="Título 5" xfId="88"/>
    <cellStyle name="Total 2" xfId="93"/>
    <cellStyle name="Vírgula" xfId="7" builtinId="3"/>
    <cellStyle name="Vírgula 2" xfId="11"/>
    <cellStyle name="Vírgula 3" xfId="101"/>
    <cellStyle name="Warning Text" xfId="9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4</xdr:col>
      <xdr:colOff>180975</xdr:colOff>
      <xdr:row>22</xdr:row>
      <xdr:rowOff>41173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543425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1043608</xdr:colOff>
      <xdr:row>41</xdr:row>
      <xdr:rowOff>66260</xdr:rowOff>
    </xdr:from>
    <xdr:to>
      <xdr:col>4</xdr:col>
      <xdr:colOff>674617</xdr:colOff>
      <xdr:row>46</xdr:row>
      <xdr:rowOff>79272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825" y="7943021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4048125</xdr:colOff>
      <xdr:row>62</xdr:row>
      <xdr:rowOff>104775</xdr:rowOff>
    </xdr:from>
    <xdr:to>
      <xdr:col>3</xdr:col>
      <xdr:colOff>123825</xdr:colOff>
      <xdr:row>67</xdr:row>
      <xdr:rowOff>147068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9746575"/>
          <a:ext cx="1533525" cy="947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3429000</xdr:colOff>
      <xdr:row>71</xdr:row>
      <xdr:rowOff>89647</xdr:rowOff>
    </xdr:from>
    <xdr:to>
      <xdr:col>4</xdr:col>
      <xdr:colOff>425822</xdr:colOff>
      <xdr:row>76</xdr:row>
      <xdr:rowOff>154564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882" y="29762823"/>
          <a:ext cx="1647264" cy="101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3</xdr:col>
      <xdr:colOff>504825</xdr:colOff>
      <xdr:row>30</xdr:row>
      <xdr:rowOff>105326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038850"/>
          <a:ext cx="1543050" cy="95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2676525</xdr:colOff>
      <xdr:row>21</xdr:row>
      <xdr:rowOff>161925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xmlns="" id="{00000000-0008-0000-13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4381500"/>
          <a:ext cx="5095875" cy="904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2676525</xdr:colOff>
      <xdr:row>21</xdr:row>
      <xdr:rowOff>161925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4381500"/>
          <a:ext cx="5095875" cy="904875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1800225</xdr:colOff>
      <xdr:row>18</xdr:row>
      <xdr:rowOff>66675</xdr:rowOff>
    </xdr:from>
    <xdr:to>
      <xdr:col>5</xdr:col>
      <xdr:colOff>412249</xdr:colOff>
      <xdr:row>30</xdr:row>
      <xdr:rowOff>15875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38725" y="4686300"/>
          <a:ext cx="4803274" cy="2203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122464</xdr:colOff>
      <xdr:row>21</xdr:row>
      <xdr:rowOff>40821</xdr:rowOff>
    </xdr:from>
    <xdr:to>
      <xdr:col>1</xdr:col>
      <xdr:colOff>2013857</xdr:colOff>
      <xdr:row>27</xdr:row>
      <xdr:rowOff>66022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129892"/>
          <a:ext cx="1891393" cy="116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121</xdr:row>
      <xdr:rowOff>0</xdr:rowOff>
    </xdr:from>
    <xdr:to>
      <xdr:col>3</xdr:col>
      <xdr:colOff>629479</xdr:colOff>
      <xdr:row>126</xdr:row>
      <xdr:rowOff>92562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870" y="19705983"/>
          <a:ext cx="1510748" cy="1702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99</xdr:row>
      <xdr:rowOff>0</xdr:rowOff>
    </xdr:from>
    <xdr:to>
      <xdr:col>3</xdr:col>
      <xdr:colOff>734545</xdr:colOff>
      <xdr:row>103</xdr:row>
      <xdr:rowOff>146508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088" y="21918706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3</xdr:col>
      <xdr:colOff>619125</xdr:colOff>
      <xdr:row>30</xdr:row>
      <xdr:rowOff>12598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2211050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2981325</xdr:colOff>
      <xdr:row>23</xdr:row>
      <xdr:rowOff>66675</xdr:rowOff>
    </xdr:from>
    <xdr:to>
      <xdr:col>3</xdr:col>
      <xdr:colOff>514350</xdr:colOff>
      <xdr:row>28</xdr:row>
      <xdr:rowOff>98323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9144000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3</xdr:col>
      <xdr:colOff>61381</xdr:colOff>
      <xdr:row>46</xdr:row>
      <xdr:rowOff>44823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13256559"/>
          <a:ext cx="1596587" cy="98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3</xdr:col>
      <xdr:colOff>581025</xdr:colOff>
      <xdr:row>29</xdr:row>
      <xdr:rowOff>155473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2163425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3</xdr:col>
      <xdr:colOff>525531</xdr:colOff>
      <xdr:row>29</xdr:row>
      <xdr:rowOff>13012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9891" y="8945217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3</xdr:col>
      <xdr:colOff>542925</xdr:colOff>
      <xdr:row>29</xdr:row>
      <xdr:rowOff>31648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715375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53</xdr:row>
      <xdr:rowOff>0</xdr:rowOff>
    </xdr:from>
    <xdr:to>
      <xdr:col>3</xdr:col>
      <xdr:colOff>333375</xdr:colOff>
      <xdr:row>57</xdr:row>
      <xdr:rowOff>155473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9107150"/>
          <a:ext cx="1362075" cy="84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S21"/>
  <sheetViews>
    <sheetView view="pageBreakPreview" zoomScaleSheetLayoutView="100" workbookViewId="0">
      <selection activeCell="N11" sqref="N11"/>
    </sheetView>
  </sheetViews>
  <sheetFormatPr defaultColWidth="9.140625" defaultRowHeight="15.75" x14ac:dyDescent="0.2"/>
  <cols>
    <col min="1" max="1" width="11.85546875" style="233" customWidth="1"/>
    <col min="2" max="2" width="39.5703125" style="233" customWidth="1"/>
    <col min="3" max="3" width="8.7109375" style="233" customWidth="1"/>
    <col min="4" max="7" width="9" style="233" bestFit="1" customWidth="1"/>
    <col min="8" max="8" width="8.7109375" style="233" hidden="1" customWidth="1"/>
    <col min="9" max="9" width="7.85546875" style="233" customWidth="1"/>
    <col min="10" max="10" width="9.5703125" style="233" customWidth="1"/>
    <col min="11" max="11" width="9.28515625" style="233" customWidth="1"/>
    <col min="12" max="12" width="8.42578125" style="233" customWidth="1"/>
    <col min="13" max="14" width="8.85546875" style="233" customWidth="1"/>
    <col min="15" max="15" width="9.42578125" style="233" hidden="1" customWidth="1"/>
    <col min="16" max="16" width="15.28515625" style="233" customWidth="1"/>
    <col min="17" max="17" width="11.85546875" style="233" customWidth="1"/>
    <col min="18" max="18" width="9.140625" style="233"/>
    <col min="19" max="19" width="14.5703125" style="233" bestFit="1" customWidth="1"/>
    <col min="20" max="16384" width="9.140625" style="233"/>
  </cols>
  <sheetData>
    <row r="1" spans="1:19" ht="22.5" customHeight="1" x14ac:dyDescent="0.2">
      <c r="A1" s="1047" t="str">
        <f>Terrap.!A1</f>
        <v>ESTADO DE MATO GROSSO</v>
      </c>
      <c r="B1" s="1048"/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  <c r="N1" s="1048"/>
      <c r="O1" s="1048"/>
      <c r="P1" s="1048"/>
      <c r="Q1" s="1049"/>
    </row>
    <row r="2" spans="1:19" ht="22.5" customHeight="1" x14ac:dyDescent="0.2">
      <c r="A2" s="1050" t="str">
        <f>Terrap.!A2</f>
        <v xml:space="preserve">PREFEITURA MUNICIPAL DE BARRA DO BUGRES 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1052"/>
    </row>
    <row r="3" spans="1:19" s="391" customFormat="1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4"/>
    </row>
    <row r="4" spans="1:19" s="391" customFormat="1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7" t="str">
        <f>Terrap.!I3</f>
        <v>SINAPI - JULHO / 2020    DESONERADO                                                                                                                           SICRO 10/2019</v>
      </c>
      <c r="P4" s="1057"/>
      <c r="Q4" s="1058"/>
    </row>
    <row r="5" spans="1:19" s="391" customFormat="1" ht="15.75" customHeight="1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1053"/>
      <c r="F5" s="1053"/>
      <c r="G5" s="1053"/>
      <c r="H5" s="1053"/>
      <c r="I5" s="1053"/>
      <c r="J5" s="1053"/>
      <c r="K5" s="387" t="s">
        <v>362</v>
      </c>
      <c r="L5" s="1055" t="str">
        <f>Terrap.!F5</f>
        <v>AGOSTO 2020</v>
      </c>
      <c r="M5" s="1055"/>
      <c r="N5" s="1055"/>
      <c r="O5" s="1057"/>
      <c r="P5" s="1057"/>
      <c r="Q5" s="1058"/>
    </row>
    <row r="6" spans="1:19" s="391" customFormat="1" thickBot="1" x14ac:dyDescent="0.25">
      <c r="A6" s="388" t="s">
        <v>59</v>
      </c>
      <c r="B6" s="1056">
        <f>Pavim.!B6</f>
        <v>31131.72</v>
      </c>
      <c r="C6" s="1056"/>
      <c r="D6" s="1056"/>
      <c r="E6" s="1056"/>
      <c r="F6" s="1056"/>
      <c r="G6" s="1056"/>
      <c r="H6" s="1056"/>
      <c r="I6" s="1056"/>
      <c r="J6" s="1056"/>
      <c r="K6" s="389" t="s">
        <v>60</v>
      </c>
      <c r="L6" s="390">
        <f>Terrap.!F6</f>
        <v>0.25640000000000002</v>
      </c>
      <c r="M6" s="390"/>
      <c r="N6" s="389" t="s">
        <v>61</v>
      </c>
      <c r="O6" s="1059"/>
      <c r="P6" s="1059"/>
      <c r="Q6" s="1060"/>
    </row>
    <row r="7" spans="1:19" ht="25.5" customHeight="1" thickBot="1" x14ac:dyDescent="0.25">
      <c r="A7" s="1044" t="s">
        <v>302</v>
      </c>
      <c r="B7" s="1045"/>
      <c r="C7" s="1045"/>
      <c r="D7" s="1045"/>
      <c r="E7" s="1045"/>
      <c r="F7" s="1045"/>
      <c r="G7" s="1045"/>
      <c r="H7" s="1045"/>
      <c r="I7" s="1045"/>
      <c r="J7" s="1045"/>
      <c r="K7" s="1045"/>
      <c r="L7" s="1045"/>
      <c r="M7" s="1045"/>
      <c r="N7" s="1045"/>
      <c r="O7" s="1045"/>
      <c r="P7" s="1045"/>
      <c r="Q7" s="1046"/>
    </row>
    <row r="8" spans="1:19" s="242" customFormat="1" ht="23.25" customHeight="1" x14ac:dyDescent="0.2">
      <c r="A8" s="1063" t="s">
        <v>0</v>
      </c>
      <c r="B8" s="1036" t="s">
        <v>88</v>
      </c>
      <c r="C8" s="1036" t="s">
        <v>89</v>
      </c>
      <c r="D8" s="1036"/>
      <c r="E8" s="1036"/>
      <c r="F8" s="1036"/>
      <c r="G8" s="1036"/>
      <c r="H8" s="1036"/>
      <c r="I8" s="1038" t="s">
        <v>90</v>
      </c>
      <c r="J8" s="1039"/>
      <c r="K8" s="1040" t="s">
        <v>175</v>
      </c>
      <c r="L8" s="1040" t="s">
        <v>176</v>
      </c>
      <c r="M8" s="1040" t="s">
        <v>236</v>
      </c>
      <c r="N8" s="1040" t="s">
        <v>250</v>
      </c>
      <c r="O8" s="1040" t="s">
        <v>251</v>
      </c>
      <c r="P8" s="1036" t="s">
        <v>91</v>
      </c>
      <c r="Q8" s="1061" t="s">
        <v>92</v>
      </c>
    </row>
    <row r="9" spans="1:19" s="242" customFormat="1" ht="23.25" customHeight="1" x14ac:dyDescent="0.2">
      <c r="A9" s="1064"/>
      <c r="B9" s="1037"/>
      <c r="C9" s="378" t="s">
        <v>93</v>
      </c>
      <c r="D9" s="378" t="s">
        <v>94</v>
      </c>
      <c r="E9" s="378" t="s">
        <v>95</v>
      </c>
      <c r="F9" s="378" t="s">
        <v>96</v>
      </c>
      <c r="G9" s="378" t="s">
        <v>97</v>
      </c>
      <c r="H9" s="378" t="s">
        <v>300</v>
      </c>
      <c r="I9" s="378" t="s">
        <v>98</v>
      </c>
      <c r="J9" s="378" t="s">
        <v>237</v>
      </c>
      <c r="K9" s="1041"/>
      <c r="L9" s="1041"/>
      <c r="M9" s="1041"/>
      <c r="N9" s="1041"/>
      <c r="O9" s="1041"/>
      <c r="P9" s="1037"/>
      <c r="Q9" s="1062"/>
    </row>
    <row r="10" spans="1:19" s="242" customFormat="1" ht="15.75" customHeight="1" x14ac:dyDescent="0.2">
      <c r="A10" s="1042" t="s">
        <v>372</v>
      </c>
      <c r="B10" s="1043"/>
      <c r="C10" s="700"/>
      <c r="D10" s="700"/>
      <c r="E10" s="700"/>
      <c r="F10" s="700"/>
      <c r="G10" s="700"/>
      <c r="H10" s="700"/>
      <c r="I10" s="700"/>
      <c r="J10" s="700"/>
      <c r="K10" s="701"/>
      <c r="L10" s="701"/>
      <c r="M10" s="701"/>
      <c r="N10" s="701"/>
      <c r="O10" s="701"/>
      <c r="P10" s="700"/>
      <c r="Q10" s="699"/>
    </row>
    <row r="11" spans="1:19" x14ac:dyDescent="0.2">
      <c r="A11" s="243">
        <v>1</v>
      </c>
      <c r="B11" s="1007" t="s">
        <v>700</v>
      </c>
      <c r="C11" s="235">
        <v>60</v>
      </c>
      <c r="D11" s="235">
        <v>75</v>
      </c>
      <c r="E11" s="235">
        <v>143</v>
      </c>
      <c r="F11" s="235"/>
      <c r="G11" s="235"/>
      <c r="H11" s="235"/>
      <c r="I11" s="236">
        <v>2</v>
      </c>
      <c r="J11" s="236">
        <v>4</v>
      </c>
      <c r="K11" s="236">
        <v>1</v>
      </c>
      <c r="L11" s="237">
        <v>2</v>
      </c>
      <c r="M11" s="237"/>
      <c r="N11" s="237"/>
      <c r="O11" s="237"/>
      <c r="P11" s="237"/>
      <c r="Q11" s="244"/>
      <c r="R11" s="238"/>
    </row>
    <row r="12" spans="1:19" x14ac:dyDescent="0.2">
      <c r="A12" s="243">
        <f t="shared" ref="A12:A13" si="0">A11+1</f>
        <v>2</v>
      </c>
      <c r="B12" s="383"/>
      <c r="C12" s="235"/>
      <c r="D12" s="235"/>
      <c r="E12" s="235"/>
      <c r="F12" s="235"/>
      <c r="G12" s="235"/>
      <c r="H12" s="235"/>
      <c r="I12" s="236"/>
      <c r="J12" s="236"/>
      <c r="K12" s="236"/>
      <c r="L12" s="237"/>
      <c r="M12" s="237"/>
      <c r="N12" s="237"/>
      <c r="O12" s="237"/>
      <c r="P12" s="237"/>
      <c r="Q12" s="244"/>
      <c r="R12" s="238"/>
    </row>
    <row r="13" spans="1:19" x14ac:dyDescent="0.2">
      <c r="A13" s="243">
        <f t="shared" si="0"/>
        <v>3</v>
      </c>
      <c r="B13" s="383"/>
      <c r="C13" s="235"/>
      <c r="D13" s="235"/>
      <c r="E13" s="235"/>
      <c r="F13" s="235"/>
      <c r="G13" s="235"/>
      <c r="H13" s="235"/>
      <c r="I13" s="236"/>
      <c r="J13" s="236"/>
      <c r="K13" s="236"/>
      <c r="L13" s="237"/>
      <c r="M13" s="237"/>
      <c r="N13" s="237"/>
      <c r="O13" s="237"/>
      <c r="P13" s="237"/>
      <c r="Q13" s="244"/>
      <c r="R13" s="238"/>
    </row>
    <row r="14" spans="1:19" x14ac:dyDescent="0.2">
      <c r="A14" s="243"/>
      <c r="B14" s="383"/>
      <c r="C14" s="235"/>
      <c r="D14" s="235"/>
      <c r="E14" s="235"/>
      <c r="F14" s="235"/>
      <c r="G14" s="235"/>
      <c r="H14" s="235"/>
      <c r="I14" s="236"/>
      <c r="J14" s="236"/>
      <c r="K14" s="358"/>
      <c r="L14" s="237"/>
      <c r="M14" s="237"/>
      <c r="N14" s="237"/>
      <c r="O14" s="359"/>
      <c r="P14" s="237"/>
      <c r="Q14" s="244"/>
      <c r="R14" s="238"/>
    </row>
    <row r="15" spans="1:19" x14ac:dyDescent="0.2">
      <c r="A15" s="243"/>
      <c r="B15" s="234"/>
      <c r="C15" s="235"/>
      <c r="D15" s="235"/>
      <c r="E15" s="235"/>
      <c r="F15" s="235"/>
      <c r="G15" s="235"/>
      <c r="H15" s="235"/>
      <c r="I15" s="236"/>
      <c r="J15" s="236"/>
      <c r="K15" s="358"/>
      <c r="L15" s="237"/>
      <c r="M15" s="237"/>
      <c r="N15" s="237"/>
      <c r="O15" s="359"/>
      <c r="P15" s="237"/>
      <c r="Q15" s="244"/>
      <c r="R15" s="238"/>
    </row>
    <row r="16" spans="1:19" ht="18.75" customHeight="1" x14ac:dyDescent="0.2">
      <c r="A16" s="1034" t="s">
        <v>99</v>
      </c>
      <c r="B16" s="1035"/>
      <c r="C16" s="239">
        <f t="shared" ref="C16:H16" si="1">SUM(C11:C14)</f>
        <v>60</v>
      </c>
      <c r="D16" s="239">
        <f t="shared" si="1"/>
        <v>75</v>
      </c>
      <c r="E16" s="239">
        <f t="shared" si="1"/>
        <v>143</v>
      </c>
      <c r="F16" s="239">
        <f t="shared" si="1"/>
        <v>0</v>
      </c>
      <c r="G16" s="239">
        <f t="shared" si="1"/>
        <v>0</v>
      </c>
      <c r="H16" s="239">
        <f t="shared" si="1"/>
        <v>0</v>
      </c>
      <c r="I16" s="1035">
        <f t="shared" ref="I16:Q16" si="2">SUM(I11:I15)</f>
        <v>2</v>
      </c>
      <c r="J16" s="1035">
        <f t="shared" si="2"/>
        <v>4</v>
      </c>
      <c r="K16" s="1035">
        <f t="shared" si="2"/>
        <v>1</v>
      </c>
      <c r="L16" s="1035">
        <f t="shared" si="2"/>
        <v>2</v>
      </c>
      <c r="M16" s="1035">
        <f t="shared" si="2"/>
        <v>0</v>
      </c>
      <c r="N16" s="1035">
        <f t="shared" si="2"/>
        <v>0</v>
      </c>
      <c r="O16" s="1035">
        <f t="shared" si="2"/>
        <v>0</v>
      </c>
      <c r="P16" s="1035">
        <f t="shared" si="2"/>
        <v>0</v>
      </c>
      <c r="Q16" s="1029">
        <f t="shared" si="2"/>
        <v>0</v>
      </c>
      <c r="S16" s="368" t="e">
        <f>Orçam.!#REF!</f>
        <v>#REF!</v>
      </c>
    </row>
    <row r="17" spans="1:17" ht="18.75" customHeight="1" thickBot="1" x14ac:dyDescent="0.25">
      <c r="A17" s="1031" t="s">
        <v>100</v>
      </c>
      <c r="B17" s="1032"/>
      <c r="C17" s="1033">
        <f>SUM(C16:H16)</f>
        <v>278</v>
      </c>
      <c r="D17" s="1032"/>
      <c r="E17" s="1032"/>
      <c r="F17" s="1032"/>
      <c r="G17" s="1032"/>
      <c r="H17" s="1032"/>
      <c r="I17" s="1032"/>
      <c r="J17" s="1032"/>
      <c r="K17" s="1032"/>
      <c r="L17" s="1032"/>
      <c r="M17" s="1032"/>
      <c r="N17" s="1032"/>
      <c r="O17" s="1032"/>
      <c r="P17" s="1032"/>
      <c r="Q17" s="1030"/>
    </row>
    <row r="19" spans="1:17" x14ac:dyDescent="0.2">
      <c r="C19" s="240"/>
      <c r="D19" s="240"/>
    </row>
    <row r="20" spans="1:17" x14ac:dyDescent="0.2">
      <c r="B20" s="240" t="str">
        <f>Terrap.!B26</f>
        <v>Robson Darcio Sousa</v>
      </c>
    </row>
    <row r="21" spans="1:17" x14ac:dyDescent="0.2">
      <c r="B21" s="241" t="str">
        <f>Terrap.!B27</f>
        <v>ENGº CIVIL</v>
      </c>
    </row>
  </sheetData>
  <mergeCells count="33">
    <mergeCell ref="A10:B10"/>
    <mergeCell ref="A7:Q7"/>
    <mergeCell ref="A1:Q1"/>
    <mergeCell ref="A2:Q2"/>
    <mergeCell ref="B3:Q3"/>
    <mergeCell ref="L5:N5"/>
    <mergeCell ref="B5:J5"/>
    <mergeCell ref="B6:J6"/>
    <mergeCell ref="B4:N4"/>
    <mergeCell ref="O4:Q6"/>
    <mergeCell ref="Q8:Q9"/>
    <mergeCell ref="P8:P9"/>
    <mergeCell ref="A8:A9"/>
    <mergeCell ref="K8:K9"/>
    <mergeCell ref="N8:N9"/>
    <mergeCell ref="O8:O9"/>
    <mergeCell ref="B8:B9"/>
    <mergeCell ref="C8:H8"/>
    <mergeCell ref="I8:J8"/>
    <mergeCell ref="M8:M9"/>
    <mergeCell ref="L8:L9"/>
    <mergeCell ref="Q16:Q17"/>
    <mergeCell ref="A17:B17"/>
    <mergeCell ref="C17:H17"/>
    <mergeCell ref="A16:B16"/>
    <mergeCell ref="I16:I17"/>
    <mergeCell ref="J16:J17"/>
    <mergeCell ref="M16:M17"/>
    <mergeCell ref="P16:P17"/>
    <mergeCell ref="L16:L17"/>
    <mergeCell ref="K16:K17"/>
    <mergeCell ref="N16:N17"/>
    <mergeCell ref="O16:O17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8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M59"/>
  <sheetViews>
    <sheetView view="pageBreakPreview" zoomScaleSheetLayoutView="100" workbookViewId="0">
      <selection activeCell="B19" sqref="B19"/>
    </sheetView>
  </sheetViews>
  <sheetFormatPr defaultColWidth="9.140625" defaultRowHeight="12.75" x14ac:dyDescent="0.2"/>
  <cols>
    <col min="1" max="1" width="11.85546875" style="268" customWidth="1"/>
    <col min="2" max="2" width="54.28515625" style="268" customWidth="1"/>
    <col min="3" max="3" width="15.42578125" style="268" customWidth="1"/>
    <col min="4" max="4" width="14.28515625" style="268" customWidth="1"/>
    <col min="5" max="5" width="10" style="268" customWidth="1"/>
    <col min="6" max="6" width="9.140625" style="268"/>
    <col min="7" max="7" width="7.28515625" style="268" customWidth="1"/>
    <col min="8" max="8" width="11.85546875" style="268" customWidth="1"/>
    <col min="9" max="9" width="16.7109375" style="268" customWidth="1"/>
    <col min="10" max="10" width="14.5703125" style="268" customWidth="1"/>
    <col min="11" max="16384" width="9.140625" style="268"/>
  </cols>
  <sheetData>
    <row r="1" spans="1:10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3"/>
    </row>
    <row r="2" spans="1:10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6"/>
    </row>
    <row r="3" spans="1:10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3"/>
      <c r="J3" s="1054"/>
    </row>
    <row r="4" spans="1:10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7" t="str">
        <f>Terrap.!I3</f>
        <v>SINAPI - JULHO / 2020    DESONERADO                                                                                                                           SICRO 10/2019</v>
      </c>
      <c r="J4" s="1058"/>
    </row>
    <row r="5" spans="1:10" ht="15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387" t="s">
        <v>362</v>
      </c>
      <c r="F5" s="1055" t="str">
        <f>Terrap.!F5</f>
        <v>AGOSTO 2020</v>
      </c>
      <c r="G5" s="1055"/>
      <c r="H5" s="1055"/>
      <c r="I5" s="1057"/>
      <c r="J5" s="1058"/>
    </row>
    <row r="6" spans="1:10" ht="15.75" thickBot="1" x14ac:dyDescent="0.25">
      <c r="A6" s="388" t="s">
        <v>59</v>
      </c>
      <c r="B6" s="1056">
        <f>Pavim.!B6</f>
        <v>31131.72</v>
      </c>
      <c r="C6" s="1056"/>
      <c r="D6" s="1056"/>
      <c r="E6" s="389" t="s">
        <v>60</v>
      </c>
      <c r="F6" s="1143">
        <f>Terrap.!F6</f>
        <v>0.25640000000000002</v>
      </c>
      <c r="G6" s="1143"/>
      <c r="H6" s="389" t="s">
        <v>61</v>
      </c>
      <c r="I6" s="1059"/>
      <c r="J6" s="1060"/>
    </row>
    <row r="7" spans="1:10" s="563" customFormat="1" ht="19.5" customHeight="1" thickBot="1" x14ac:dyDescent="0.25">
      <c r="A7" s="1208" t="s">
        <v>575</v>
      </c>
      <c r="B7" s="1209"/>
      <c r="C7" s="1209"/>
      <c r="D7" s="1209"/>
      <c r="E7" s="1209"/>
      <c r="F7" s="1209"/>
      <c r="G7" s="1209"/>
      <c r="H7" s="1209"/>
      <c r="I7" s="1209"/>
      <c r="J7" s="1210"/>
    </row>
    <row r="8" spans="1:10" s="753" customFormat="1" ht="20.25" customHeight="1" x14ac:dyDescent="0.2">
      <c r="A8" s="1193" t="s">
        <v>62</v>
      </c>
      <c r="B8" s="1195" t="s">
        <v>63</v>
      </c>
      <c r="C8" s="1195" t="s">
        <v>368</v>
      </c>
      <c r="D8" s="1195"/>
      <c r="E8" s="1195" t="s">
        <v>376</v>
      </c>
      <c r="F8" s="1195" t="s">
        <v>65</v>
      </c>
      <c r="G8" s="1195"/>
      <c r="H8" s="1195"/>
      <c r="I8" s="1195"/>
      <c r="J8" s="1201" t="s">
        <v>535</v>
      </c>
    </row>
    <row r="9" spans="1:10" s="753" customFormat="1" ht="28.5" customHeight="1" x14ac:dyDescent="0.2">
      <c r="A9" s="1194"/>
      <c r="B9" s="1196"/>
      <c r="C9" s="676" t="s">
        <v>72</v>
      </c>
      <c r="D9" s="676" t="s">
        <v>101</v>
      </c>
      <c r="E9" s="1196"/>
      <c r="F9" s="676" t="s">
        <v>67</v>
      </c>
      <c r="G9" s="676" t="s">
        <v>68</v>
      </c>
      <c r="H9" s="676" t="s">
        <v>377</v>
      </c>
      <c r="I9" s="676" t="s">
        <v>378</v>
      </c>
      <c r="J9" s="1202"/>
    </row>
    <row r="10" spans="1:10" s="563" customFormat="1" ht="14.25" x14ac:dyDescent="0.2">
      <c r="A10" s="1203" t="str">
        <f>Terrap.!A10</f>
        <v>TRECHO 03</v>
      </c>
      <c r="B10" s="1204"/>
      <c r="C10" s="1204"/>
      <c r="D10" s="1204"/>
      <c r="E10" s="1204"/>
      <c r="F10" s="1204"/>
      <c r="G10" s="1204"/>
      <c r="H10" s="1204"/>
      <c r="I10" s="1204"/>
      <c r="J10" s="1245"/>
    </row>
    <row r="11" spans="1:10" s="563" customFormat="1" ht="15" x14ac:dyDescent="0.2">
      <c r="A11" s="557">
        <f>Pavim.!A11</f>
        <v>1</v>
      </c>
      <c r="B11" s="457" t="str">
        <f>Pavim.!B11</f>
        <v>RUAS DAS MARGARIDAS</v>
      </c>
      <c r="C11" s="369">
        <v>553.1</v>
      </c>
      <c r="D11" s="369">
        <f>C11</f>
        <v>553.1</v>
      </c>
      <c r="E11" s="369">
        <f t="shared" ref="E11" si="0">D11+C11</f>
        <v>1106.2</v>
      </c>
      <c r="F11" s="458" t="str">
        <f>Terrap.!F11</f>
        <v>LR 01</v>
      </c>
      <c r="G11" s="370">
        <f>Terrap.!G11</f>
        <v>6</v>
      </c>
      <c r="H11" s="371"/>
      <c r="I11" s="371">
        <f t="shared" ref="I11:I12" si="1">H11*G11</f>
        <v>0</v>
      </c>
      <c r="J11" s="566">
        <f t="shared" ref="J11:J12" si="2">I11+E11</f>
        <v>1106.2</v>
      </c>
    </row>
    <row r="12" spans="1:10" s="563" customFormat="1" ht="15" x14ac:dyDescent="0.2">
      <c r="A12" s="557">
        <f>Pavim.!A12</f>
        <v>2</v>
      </c>
      <c r="B12" s="457" t="str">
        <f>Pavim.!B12</f>
        <v>RUA DOS GIRASSÓIS</v>
      </c>
      <c r="C12" s="666">
        <v>553.1</v>
      </c>
      <c r="D12" s="666">
        <f t="shared" ref="D12:D22" si="3">C12</f>
        <v>553.1</v>
      </c>
      <c r="E12" s="369">
        <f t="shared" ref="E12" si="4">D12+C12</f>
        <v>1106.2</v>
      </c>
      <c r="F12" s="458" t="str">
        <f>Terrap.!F12</f>
        <v>LR 01</v>
      </c>
      <c r="G12" s="370">
        <f>Terrap.!G12</f>
        <v>6</v>
      </c>
      <c r="H12" s="371"/>
      <c r="I12" s="371">
        <f t="shared" si="1"/>
        <v>0</v>
      </c>
      <c r="J12" s="566">
        <f t="shared" si="2"/>
        <v>1106.2</v>
      </c>
    </row>
    <row r="13" spans="1:10" s="563" customFormat="1" ht="15" x14ac:dyDescent="0.2">
      <c r="A13" s="557">
        <f>Pavim.!A13</f>
        <v>3</v>
      </c>
      <c r="B13" s="457" t="str">
        <f>Pavim.!B13</f>
        <v>RUAS DAS CEREJEIRAS</v>
      </c>
      <c r="C13" s="666">
        <v>553.1</v>
      </c>
      <c r="D13" s="666">
        <v>552</v>
      </c>
      <c r="E13" s="369">
        <f t="shared" ref="E13" si="5">D13+C13</f>
        <v>1105.0999999999999</v>
      </c>
      <c r="F13" s="458" t="str">
        <f>Terrap.!F13</f>
        <v>LR 01</v>
      </c>
      <c r="G13" s="370">
        <f>Terrap.!G13</f>
        <v>4</v>
      </c>
      <c r="H13" s="371"/>
      <c r="I13" s="371">
        <f t="shared" ref="I13" si="6">H13*G13</f>
        <v>0</v>
      </c>
      <c r="J13" s="566">
        <f t="shared" ref="J13" si="7">I13+E13</f>
        <v>1105.0999999999999</v>
      </c>
    </row>
    <row r="14" spans="1:10" s="563" customFormat="1" ht="15" x14ac:dyDescent="0.2">
      <c r="A14" s="664">
        <f>Pavim.!A14</f>
        <v>4</v>
      </c>
      <c r="B14" s="920" t="str">
        <f>Pavim.!B14</f>
        <v>RUA DAS JARACATIÁS</v>
      </c>
      <c r="C14" s="666">
        <v>679.8</v>
      </c>
      <c r="D14" s="666">
        <v>549.79999999999995</v>
      </c>
      <c r="E14" s="666">
        <f t="shared" ref="E14:E22" si="8">D14+C14</f>
        <v>1229.5999999999999</v>
      </c>
      <c r="F14" s="921" t="str">
        <f>Terrap.!F14</f>
        <v>LR 01</v>
      </c>
      <c r="G14" s="370">
        <v>4</v>
      </c>
      <c r="H14" s="371">
        <v>17.95</v>
      </c>
      <c r="I14" s="371">
        <f t="shared" ref="I14:I22" si="9">H14*G14</f>
        <v>71.8</v>
      </c>
      <c r="J14" s="668">
        <f t="shared" ref="J14:J22" si="10">I14+E14</f>
        <v>1301.4000000000001</v>
      </c>
    </row>
    <row r="15" spans="1:10" s="563" customFormat="1" ht="15" x14ac:dyDescent="0.2">
      <c r="A15" s="664">
        <f>Pavim.!A15</f>
        <v>5</v>
      </c>
      <c r="B15" s="920" t="str">
        <f>Pavim.!B15</f>
        <v>AV CONSTITUINTE</v>
      </c>
      <c r="C15" s="666">
        <v>254.33</v>
      </c>
      <c r="D15" s="666">
        <v>110.33</v>
      </c>
      <c r="E15" s="666">
        <f t="shared" si="8"/>
        <v>364.66</v>
      </c>
      <c r="F15" s="921" t="s">
        <v>702</v>
      </c>
      <c r="G15" s="370">
        <v>1</v>
      </c>
      <c r="H15" s="371"/>
      <c r="I15" s="371">
        <f t="shared" si="9"/>
        <v>0</v>
      </c>
      <c r="J15" s="668">
        <f t="shared" si="10"/>
        <v>364.66</v>
      </c>
    </row>
    <row r="16" spans="1:10" s="563" customFormat="1" ht="15" x14ac:dyDescent="0.2">
      <c r="A16" s="664">
        <f>Pavim.!A16</f>
        <v>6</v>
      </c>
      <c r="B16" s="920" t="str">
        <f>Pavim.!B16</f>
        <v>RUA FLAMBOYANT</v>
      </c>
      <c r="C16" s="666">
        <f>Terrap.!C16</f>
        <v>215.41</v>
      </c>
      <c r="D16" s="666">
        <f t="shared" si="3"/>
        <v>215.41</v>
      </c>
      <c r="E16" s="666">
        <f t="shared" si="8"/>
        <v>430.82</v>
      </c>
      <c r="F16" s="921" t="str">
        <f>Terrap.!F16</f>
        <v>LR05</v>
      </c>
      <c r="G16" s="370">
        <f>Terrap.!G16</f>
        <v>1</v>
      </c>
      <c r="H16" s="371">
        <v>2.74</v>
      </c>
      <c r="I16" s="371">
        <f t="shared" si="9"/>
        <v>2.74</v>
      </c>
      <c r="J16" s="668">
        <f t="shared" si="10"/>
        <v>433.56</v>
      </c>
    </row>
    <row r="17" spans="1:13" s="563" customFormat="1" ht="15" x14ac:dyDescent="0.2">
      <c r="A17" s="664">
        <f>Pavim.!A17</f>
        <v>7</v>
      </c>
      <c r="B17" s="920" t="str">
        <f>Pavim.!B17</f>
        <v>RUA CAMPOS ELISIOS</v>
      </c>
      <c r="C17" s="666">
        <f>Terrap.!C17</f>
        <v>215.6</v>
      </c>
      <c r="D17" s="666">
        <f t="shared" si="3"/>
        <v>215.6</v>
      </c>
      <c r="E17" s="666">
        <f t="shared" si="8"/>
        <v>431.2</v>
      </c>
      <c r="F17" s="921">
        <f>Terrap.!F17</f>
        <v>0</v>
      </c>
      <c r="G17" s="370">
        <f>Terrap.!G17</f>
        <v>0</v>
      </c>
      <c r="H17" s="371">
        <v>2.74</v>
      </c>
      <c r="I17" s="371">
        <f t="shared" si="9"/>
        <v>0</v>
      </c>
      <c r="J17" s="668">
        <f t="shared" si="10"/>
        <v>431.2</v>
      </c>
    </row>
    <row r="18" spans="1:13" s="563" customFormat="1" ht="15" x14ac:dyDescent="0.2">
      <c r="A18" s="664">
        <f>Pavim.!A18</f>
        <v>8</v>
      </c>
      <c r="B18" s="920" t="str">
        <f>Pavim.!B18</f>
        <v>RUA SAMAMBAIAS</v>
      </c>
      <c r="C18" s="666">
        <f>Terrap.!C18</f>
        <v>219.5</v>
      </c>
      <c r="D18" s="666">
        <f t="shared" si="3"/>
        <v>219.5</v>
      </c>
      <c r="E18" s="666">
        <f t="shared" si="8"/>
        <v>439</v>
      </c>
      <c r="F18" s="921">
        <f>Terrap.!F18</f>
        <v>0</v>
      </c>
      <c r="G18" s="370">
        <f>Terrap.!G18</f>
        <v>0</v>
      </c>
      <c r="H18" s="371"/>
      <c r="I18" s="371">
        <f t="shared" si="9"/>
        <v>0</v>
      </c>
      <c r="J18" s="668">
        <f t="shared" si="10"/>
        <v>439</v>
      </c>
    </row>
    <row r="19" spans="1:13" s="563" customFormat="1" ht="15" x14ac:dyDescent="0.2">
      <c r="A19" s="664">
        <f>Pavim.!A19</f>
        <v>9</v>
      </c>
      <c r="B19" s="991" t="str">
        <f>Pavim.!B19</f>
        <v>RUA PARAÍSO</v>
      </c>
      <c r="C19" s="666">
        <v>424.42</v>
      </c>
      <c r="D19" s="666">
        <f t="shared" si="3"/>
        <v>424.42</v>
      </c>
      <c r="E19" s="666">
        <f t="shared" si="8"/>
        <v>848.84</v>
      </c>
      <c r="F19" s="984" t="str">
        <f>Terrap.!F19</f>
        <v>LR 01</v>
      </c>
      <c r="G19" s="370">
        <f>Terrap.!G19</f>
        <v>2</v>
      </c>
      <c r="H19" s="371"/>
      <c r="I19" s="371">
        <f t="shared" si="9"/>
        <v>0</v>
      </c>
      <c r="J19" s="668">
        <f t="shared" si="10"/>
        <v>848.84</v>
      </c>
    </row>
    <row r="20" spans="1:13" s="563" customFormat="1" ht="15" x14ac:dyDescent="0.2">
      <c r="A20" s="664">
        <f>Pavim.!A20</f>
        <v>10</v>
      </c>
      <c r="B20" s="991" t="str">
        <f>Pavim.!B20</f>
        <v>RUA IMPERIAL</v>
      </c>
      <c r="C20" s="666">
        <v>501.37</v>
      </c>
      <c r="D20" s="666">
        <f t="shared" si="3"/>
        <v>501.37</v>
      </c>
      <c r="E20" s="666">
        <f t="shared" si="8"/>
        <v>1002.74</v>
      </c>
      <c r="F20" s="984" t="str">
        <f>Terrap.!F20</f>
        <v>LR 01</v>
      </c>
      <c r="G20" s="370">
        <f>Terrap.!G20</f>
        <v>2</v>
      </c>
      <c r="H20" s="371"/>
      <c r="I20" s="371">
        <f t="shared" si="9"/>
        <v>0</v>
      </c>
      <c r="J20" s="668">
        <f t="shared" si="10"/>
        <v>1002.74</v>
      </c>
    </row>
    <row r="21" spans="1:13" s="563" customFormat="1" ht="15" x14ac:dyDescent="0.2">
      <c r="A21" s="664">
        <f>Pavim.!A21</f>
        <v>11</v>
      </c>
      <c r="B21" s="991" t="str">
        <f>Pavim.!B21</f>
        <v>RUA VIRTUDE</v>
      </c>
      <c r="C21" s="666">
        <v>303.77999999999997</v>
      </c>
      <c r="D21" s="666">
        <v>317.08</v>
      </c>
      <c r="E21" s="666">
        <f t="shared" si="8"/>
        <v>620.86</v>
      </c>
      <c r="F21" s="984" t="str">
        <f>Terrap.!F21</f>
        <v>LR 01</v>
      </c>
      <c r="G21" s="370">
        <f>Terrap.!G21</f>
        <v>1</v>
      </c>
      <c r="H21" s="371"/>
      <c r="I21" s="371">
        <f t="shared" si="9"/>
        <v>0</v>
      </c>
      <c r="J21" s="668">
        <f t="shared" si="10"/>
        <v>620.86</v>
      </c>
    </row>
    <row r="22" spans="1:13" s="563" customFormat="1" ht="15" x14ac:dyDescent="0.2">
      <c r="A22" s="664">
        <f>Pavim.!A22</f>
        <v>12</v>
      </c>
      <c r="B22" s="991" t="str">
        <f>Pavim.!B22</f>
        <v>AV. PRESIDENTE TANCREDO NEVES</v>
      </c>
      <c r="C22" s="666">
        <v>59.9</v>
      </c>
      <c r="D22" s="666">
        <f t="shared" si="3"/>
        <v>59.9</v>
      </c>
      <c r="E22" s="666">
        <f t="shared" si="8"/>
        <v>119.8</v>
      </c>
      <c r="F22" s="921" t="str">
        <f>Terrap.!F22</f>
        <v>LR 01</v>
      </c>
      <c r="G22" s="370">
        <f>Terrap.!G22</f>
        <v>2</v>
      </c>
      <c r="H22" s="371"/>
      <c r="I22" s="371">
        <f t="shared" si="9"/>
        <v>0</v>
      </c>
      <c r="J22" s="668">
        <f t="shared" si="10"/>
        <v>119.8</v>
      </c>
    </row>
    <row r="23" spans="1:13" s="563" customFormat="1" ht="15" x14ac:dyDescent="0.2">
      <c r="A23" s="1203" t="s">
        <v>73</v>
      </c>
      <c r="B23" s="1204"/>
      <c r="C23" s="372">
        <f>SUM(C11:C22)</f>
        <v>4533.41</v>
      </c>
      <c r="D23" s="372"/>
      <c r="E23" s="372">
        <f>SUM(E11:E22)</f>
        <v>8805.02</v>
      </c>
      <c r="F23" s="458"/>
      <c r="G23" s="370"/>
      <c r="H23" s="374"/>
      <c r="I23" s="372">
        <f>SUM(I11:I22)</f>
        <v>74.540000000000006</v>
      </c>
      <c r="J23" s="377">
        <f>SUM(J11:J22)</f>
        <v>8879.56</v>
      </c>
      <c r="M23" s="564"/>
    </row>
    <row r="24" spans="1:13" s="563" customFormat="1" ht="15" thickBot="1" x14ac:dyDescent="0.25">
      <c r="A24" s="1197" t="s">
        <v>216</v>
      </c>
      <c r="B24" s="1198"/>
      <c r="C24" s="1199">
        <f>I23+E23</f>
        <v>8879.56</v>
      </c>
      <c r="D24" s="1199"/>
      <c r="E24" s="1199"/>
      <c r="F24" s="1199"/>
      <c r="G24" s="1199"/>
      <c r="H24" s="1199"/>
      <c r="I24" s="1199"/>
      <c r="J24" s="1200"/>
    </row>
    <row r="25" spans="1:13" ht="13.5" thickBot="1" x14ac:dyDescent="0.25">
      <c r="A25" s="563"/>
      <c r="B25" s="563"/>
      <c r="C25" s="563"/>
      <c r="D25" s="563"/>
      <c r="E25" s="563"/>
      <c r="F25" s="563"/>
      <c r="G25" s="563"/>
      <c r="H25" s="563"/>
      <c r="I25" s="563"/>
      <c r="J25" s="563"/>
    </row>
    <row r="26" spans="1:13" ht="16.5" thickBot="1" x14ac:dyDescent="0.25">
      <c r="A26" s="1208" t="s">
        <v>576</v>
      </c>
      <c r="B26" s="1209"/>
      <c r="C26" s="1209"/>
      <c r="D26" s="1209"/>
      <c r="E26" s="1209"/>
      <c r="F26" s="1209"/>
      <c r="G26" s="1209"/>
      <c r="H26" s="1209"/>
      <c r="I26" s="1209"/>
      <c r="J26" s="1210"/>
    </row>
    <row r="27" spans="1:13" ht="14.25" customHeight="1" x14ac:dyDescent="0.2">
      <c r="A27" s="1193" t="s">
        <v>62</v>
      </c>
      <c r="B27" s="1195" t="s">
        <v>63</v>
      </c>
      <c r="C27" s="1195" t="s">
        <v>368</v>
      </c>
      <c r="D27" s="1195"/>
      <c r="E27" s="1195" t="s">
        <v>376</v>
      </c>
      <c r="F27" s="1195" t="s">
        <v>65</v>
      </c>
      <c r="G27" s="1195"/>
      <c r="H27" s="1195"/>
      <c r="I27" s="1195"/>
      <c r="J27" s="1201" t="s">
        <v>535</v>
      </c>
    </row>
    <row r="28" spans="1:13" ht="28.5" x14ac:dyDescent="0.2">
      <c r="A28" s="1194"/>
      <c r="B28" s="1196"/>
      <c r="C28" s="810" t="s">
        <v>72</v>
      </c>
      <c r="D28" s="810" t="s">
        <v>101</v>
      </c>
      <c r="E28" s="1196"/>
      <c r="F28" s="810" t="s">
        <v>67</v>
      </c>
      <c r="G28" s="810" t="s">
        <v>68</v>
      </c>
      <c r="H28" s="810" t="s">
        <v>377</v>
      </c>
      <c r="I28" s="810" t="s">
        <v>378</v>
      </c>
      <c r="J28" s="1202"/>
    </row>
    <row r="29" spans="1:13" ht="14.25" hidden="1" x14ac:dyDescent="0.2">
      <c r="A29" s="1203" t="str">
        <f>A10</f>
        <v>TRECHO 03</v>
      </c>
      <c r="B29" s="1204"/>
      <c r="C29" s="1204"/>
      <c r="D29" s="1204"/>
      <c r="E29" s="1204"/>
      <c r="F29" s="1204"/>
      <c r="G29" s="1204"/>
      <c r="H29" s="1204"/>
      <c r="I29" s="1204"/>
      <c r="J29" s="1245"/>
    </row>
    <row r="30" spans="1:13" ht="15" hidden="1" x14ac:dyDescent="0.2">
      <c r="A30" s="664">
        <f>A11</f>
        <v>1</v>
      </c>
      <c r="B30" s="808" t="str">
        <f>B11</f>
        <v>RUAS DAS MARGARIDAS</v>
      </c>
      <c r="C30" s="666"/>
      <c r="D30" s="666"/>
      <c r="E30" s="666">
        <f t="shared" ref="E30" si="11">D30+C30</f>
        <v>0</v>
      </c>
      <c r="F30" s="809" t="str">
        <f t="shared" ref="F30:G32" si="12">F11</f>
        <v>LR 01</v>
      </c>
      <c r="G30" s="370">
        <f t="shared" si="12"/>
        <v>6</v>
      </c>
      <c r="H30" s="371"/>
      <c r="I30" s="371">
        <f t="shared" ref="I30" si="13">H30*G30</f>
        <v>0</v>
      </c>
      <c r="J30" s="668">
        <f t="shared" ref="J30" si="14">I30+E30</f>
        <v>0</v>
      </c>
    </row>
    <row r="31" spans="1:13" ht="15" hidden="1" x14ac:dyDescent="0.2">
      <c r="A31" s="664">
        <f>A12</f>
        <v>2</v>
      </c>
      <c r="B31" s="808" t="str">
        <f>B12</f>
        <v>RUA DOS GIRASSÓIS</v>
      </c>
      <c r="C31" s="666"/>
      <c r="D31" s="666"/>
      <c r="E31" s="666">
        <f t="shared" ref="E31:E33" si="15">D31+C31</f>
        <v>0</v>
      </c>
      <c r="F31" s="809" t="str">
        <f t="shared" si="12"/>
        <v>LR 01</v>
      </c>
      <c r="G31" s="370">
        <f t="shared" si="12"/>
        <v>6</v>
      </c>
      <c r="H31" s="371"/>
      <c r="I31" s="371">
        <f t="shared" ref="I31:I33" si="16">H31*G31</f>
        <v>0</v>
      </c>
      <c r="J31" s="668">
        <f t="shared" ref="J31:J33" si="17">I31+E31</f>
        <v>0</v>
      </c>
    </row>
    <row r="32" spans="1:13" ht="15" hidden="1" x14ac:dyDescent="0.2">
      <c r="A32" s="664">
        <f>A13</f>
        <v>3</v>
      </c>
      <c r="B32" s="808" t="str">
        <f>B13</f>
        <v>RUAS DAS CEREJEIRAS</v>
      </c>
      <c r="C32" s="666"/>
      <c r="D32" s="666"/>
      <c r="E32" s="666">
        <f t="shared" si="15"/>
        <v>0</v>
      </c>
      <c r="F32" s="809" t="str">
        <f t="shared" si="12"/>
        <v>LR 01</v>
      </c>
      <c r="G32" s="370">
        <f t="shared" si="12"/>
        <v>4</v>
      </c>
      <c r="H32" s="371"/>
      <c r="I32" s="371">
        <f t="shared" si="16"/>
        <v>0</v>
      </c>
      <c r="J32" s="668">
        <f t="shared" si="17"/>
        <v>0</v>
      </c>
    </row>
    <row r="33" spans="1:10" ht="15" hidden="1" x14ac:dyDescent="0.2">
      <c r="A33" s="664" t="e">
        <f>#REF!</f>
        <v>#REF!</v>
      </c>
      <c r="B33" s="808" t="e">
        <f>#REF!</f>
        <v>#REF!</v>
      </c>
      <c r="C33" s="666"/>
      <c r="D33" s="666"/>
      <c r="E33" s="666">
        <f t="shared" si="15"/>
        <v>0</v>
      </c>
      <c r="F33" s="809" t="e">
        <f>#REF!</f>
        <v>#REF!</v>
      </c>
      <c r="G33" s="370" t="e">
        <f>#REF!</f>
        <v>#REF!</v>
      </c>
      <c r="H33" s="371"/>
      <c r="I33" s="371" t="e">
        <f t="shared" si="16"/>
        <v>#REF!</v>
      </c>
      <c r="J33" s="668" t="e">
        <f t="shared" si="17"/>
        <v>#REF!</v>
      </c>
    </row>
    <row r="34" spans="1:10" ht="14.25" x14ac:dyDescent="0.2">
      <c r="A34" s="1203"/>
      <c r="B34" s="1204"/>
      <c r="C34" s="1204"/>
      <c r="D34" s="1204"/>
      <c r="E34" s="1204"/>
      <c r="F34" s="1204"/>
      <c r="G34" s="1204"/>
      <c r="H34" s="1204"/>
      <c r="I34" s="1204"/>
      <c r="J34" s="1245"/>
    </row>
    <row r="35" spans="1:10" ht="15" hidden="1" x14ac:dyDescent="0.2">
      <c r="A35" s="664" t="e">
        <f>#REF!</f>
        <v>#REF!</v>
      </c>
      <c r="B35" s="808" t="e">
        <f>#REF!</f>
        <v>#REF!</v>
      </c>
      <c r="C35" s="666"/>
      <c r="D35" s="666"/>
      <c r="E35" s="666">
        <f t="shared" ref="E35:E38" si="18">D35+C35</f>
        <v>0</v>
      </c>
      <c r="F35" s="809" t="e">
        <f>#REF!</f>
        <v>#REF!</v>
      </c>
      <c r="G35" s="370" t="e">
        <f>#REF!</f>
        <v>#REF!</v>
      </c>
      <c r="H35" s="371"/>
      <c r="I35" s="371" t="e">
        <f t="shared" ref="I35:I38" si="19">H35*G35</f>
        <v>#REF!</v>
      </c>
      <c r="J35" s="668" t="e">
        <f t="shared" ref="J35:J38" si="20">I35+E35</f>
        <v>#REF!</v>
      </c>
    </row>
    <row r="36" spans="1:10" ht="15" hidden="1" x14ac:dyDescent="0.2">
      <c r="A36" s="664" t="e">
        <f>#REF!</f>
        <v>#REF!</v>
      </c>
      <c r="B36" s="808" t="e">
        <f>#REF!</f>
        <v>#REF!</v>
      </c>
      <c r="C36" s="666"/>
      <c r="D36" s="666"/>
      <c r="E36" s="666">
        <f t="shared" si="18"/>
        <v>0</v>
      </c>
      <c r="F36" s="809" t="e">
        <f>#REF!</f>
        <v>#REF!</v>
      </c>
      <c r="G36" s="370" t="e">
        <f>#REF!</f>
        <v>#REF!</v>
      </c>
      <c r="H36" s="371"/>
      <c r="I36" s="371" t="e">
        <f t="shared" si="19"/>
        <v>#REF!</v>
      </c>
      <c r="J36" s="668" t="e">
        <f t="shared" si="20"/>
        <v>#REF!</v>
      </c>
    </row>
    <row r="37" spans="1:10" ht="15" hidden="1" x14ac:dyDescent="0.2">
      <c r="A37" s="664" t="e">
        <f>#REF!</f>
        <v>#REF!</v>
      </c>
      <c r="B37" s="808" t="e">
        <f>#REF!</f>
        <v>#REF!</v>
      </c>
      <c r="C37" s="666"/>
      <c r="D37" s="666"/>
      <c r="E37" s="666">
        <f t="shared" si="18"/>
        <v>0</v>
      </c>
      <c r="F37" s="809" t="e">
        <f>#REF!</f>
        <v>#REF!</v>
      </c>
      <c r="G37" s="370" t="e">
        <f>#REF!</f>
        <v>#REF!</v>
      </c>
      <c r="H37" s="371"/>
      <c r="I37" s="371" t="e">
        <f t="shared" si="19"/>
        <v>#REF!</v>
      </c>
      <c r="J37" s="668" t="e">
        <f t="shared" si="20"/>
        <v>#REF!</v>
      </c>
    </row>
    <row r="38" spans="1:10" ht="15" hidden="1" x14ac:dyDescent="0.2">
      <c r="A38" s="664" t="e">
        <f>#REF!</f>
        <v>#REF!</v>
      </c>
      <c r="B38" s="808" t="e">
        <f>#REF!</f>
        <v>#REF!</v>
      </c>
      <c r="C38" s="666"/>
      <c r="D38" s="666"/>
      <c r="E38" s="666">
        <f t="shared" si="18"/>
        <v>0</v>
      </c>
      <c r="F38" s="809" t="e">
        <f>#REF!</f>
        <v>#REF!</v>
      </c>
      <c r="G38" s="370" t="e">
        <f>#REF!</f>
        <v>#REF!</v>
      </c>
      <c r="H38" s="371"/>
      <c r="I38" s="371" t="e">
        <f t="shared" si="19"/>
        <v>#REF!</v>
      </c>
      <c r="J38" s="668" t="e">
        <f t="shared" si="20"/>
        <v>#REF!</v>
      </c>
    </row>
    <row r="39" spans="1:10" ht="15" x14ac:dyDescent="0.2">
      <c r="A39" s="664">
        <f t="shared" ref="A39:B46" si="21">A11</f>
        <v>1</v>
      </c>
      <c r="B39" s="808" t="str">
        <f t="shared" si="21"/>
        <v>RUAS DAS MARGARIDAS</v>
      </c>
      <c r="C39" s="666"/>
      <c r="D39" s="666"/>
      <c r="E39" s="666">
        <f>C39+D39</f>
        <v>0</v>
      </c>
      <c r="F39" s="809" t="str">
        <f t="shared" ref="F39:G46" si="22">F11</f>
        <v>LR 01</v>
      </c>
      <c r="G39" s="370">
        <f t="shared" si="22"/>
        <v>6</v>
      </c>
      <c r="H39" s="371">
        <v>9.42</v>
      </c>
      <c r="I39" s="371">
        <f t="shared" ref="I39:I41" si="23">H39*G39</f>
        <v>56.52</v>
      </c>
      <c r="J39" s="668">
        <f t="shared" ref="J39:J41" si="24">I39+E39</f>
        <v>56.52</v>
      </c>
    </row>
    <row r="40" spans="1:10" ht="15" x14ac:dyDescent="0.2">
      <c r="A40" s="664">
        <f t="shared" si="21"/>
        <v>2</v>
      </c>
      <c r="B40" s="885" t="str">
        <f t="shared" si="21"/>
        <v>RUA DOS GIRASSÓIS</v>
      </c>
      <c r="C40" s="666"/>
      <c r="D40" s="666"/>
      <c r="E40" s="666">
        <f t="shared" ref="E40:E41" si="25">C40+D40</f>
        <v>0</v>
      </c>
      <c r="F40" s="886" t="str">
        <f t="shared" si="22"/>
        <v>LR 01</v>
      </c>
      <c r="G40" s="370">
        <f t="shared" si="22"/>
        <v>6</v>
      </c>
      <c r="H40" s="371">
        <v>9.42</v>
      </c>
      <c r="I40" s="371">
        <f t="shared" si="23"/>
        <v>56.52</v>
      </c>
      <c r="J40" s="668">
        <f t="shared" si="24"/>
        <v>56.52</v>
      </c>
    </row>
    <row r="41" spans="1:10" ht="15" x14ac:dyDescent="0.2">
      <c r="A41" s="664">
        <f t="shared" si="21"/>
        <v>3</v>
      </c>
      <c r="B41" s="885" t="str">
        <f t="shared" si="21"/>
        <v>RUAS DAS CEREJEIRAS</v>
      </c>
      <c r="C41" s="666"/>
      <c r="D41" s="666"/>
      <c r="E41" s="666">
        <f t="shared" si="25"/>
        <v>0</v>
      </c>
      <c r="F41" s="886" t="str">
        <f t="shared" si="22"/>
        <v>LR 01</v>
      </c>
      <c r="G41" s="370">
        <f t="shared" si="22"/>
        <v>4</v>
      </c>
      <c r="H41" s="371">
        <v>9.42</v>
      </c>
      <c r="I41" s="371">
        <f t="shared" si="23"/>
        <v>37.68</v>
      </c>
      <c r="J41" s="668">
        <f t="shared" si="24"/>
        <v>37.68</v>
      </c>
    </row>
    <row r="42" spans="1:10" ht="15" x14ac:dyDescent="0.2">
      <c r="A42" s="664">
        <f t="shared" si="21"/>
        <v>4</v>
      </c>
      <c r="B42" s="920" t="str">
        <f t="shared" si="21"/>
        <v>RUA DAS JARACATIÁS</v>
      </c>
      <c r="C42" s="666"/>
      <c r="D42" s="666"/>
      <c r="E42" s="666">
        <f t="shared" ref="E42:E50" si="26">C42+D42</f>
        <v>0</v>
      </c>
      <c r="F42" s="921" t="str">
        <f t="shared" si="22"/>
        <v>LR 01</v>
      </c>
      <c r="G42" s="370">
        <f t="shared" si="22"/>
        <v>4</v>
      </c>
      <c r="H42" s="371">
        <v>9.42</v>
      </c>
      <c r="I42" s="371">
        <f t="shared" ref="I42:I50" si="27">H42*G42</f>
        <v>37.68</v>
      </c>
      <c r="J42" s="668">
        <f t="shared" ref="J42:J50" si="28">I42+E42</f>
        <v>37.68</v>
      </c>
    </row>
    <row r="43" spans="1:10" ht="15" x14ac:dyDescent="0.2">
      <c r="A43" s="664">
        <f t="shared" si="21"/>
        <v>5</v>
      </c>
      <c r="B43" s="920" t="str">
        <f t="shared" si="21"/>
        <v>AV CONSTITUINTE</v>
      </c>
      <c r="C43" s="666"/>
      <c r="D43" s="666"/>
      <c r="E43" s="666">
        <f t="shared" si="26"/>
        <v>0</v>
      </c>
      <c r="F43" s="921" t="str">
        <f t="shared" si="22"/>
        <v>LR 01</v>
      </c>
      <c r="G43" s="370">
        <f t="shared" si="22"/>
        <v>1</v>
      </c>
      <c r="H43" s="371">
        <v>9.42</v>
      </c>
      <c r="I43" s="371">
        <f t="shared" si="27"/>
        <v>9.42</v>
      </c>
      <c r="J43" s="668">
        <f t="shared" si="28"/>
        <v>9.42</v>
      </c>
    </row>
    <row r="44" spans="1:10" ht="15" x14ac:dyDescent="0.2">
      <c r="A44" s="664">
        <f t="shared" si="21"/>
        <v>6</v>
      </c>
      <c r="B44" s="920" t="str">
        <f t="shared" si="21"/>
        <v>RUA FLAMBOYANT</v>
      </c>
      <c r="C44" s="666"/>
      <c r="D44" s="666"/>
      <c r="E44" s="666">
        <f t="shared" si="26"/>
        <v>0</v>
      </c>
      <c r="F44" s="921" t="str">
        <f t="shared" si="22"/>
        <v>LR05</v>
      </c>
      <c r="G44" s="370">
        <f t="shared" si="22"/>
        <v>1</v>
      </c>
      <c r="H44" s="371">
        <v>9.42</v>
      </c>
      <c r="I44" s="371">
        <f t="shared" si="27"/>
        <v>9.42</v>
      </c>
      <c r="J44" s="668">
        <f t="shared" si="28"/>
        <v>9.42</v>
      </c>
    </row>
    <row r="45" spans="1:10" ht="15" x14ac:dyDescent="0.2">
      <c r="A45" s="664">
        <f t="shared" si="21"/>
        <v>7</v>
      </c>
      <c r="B45" s="920" t="str">
        <f t="shared" si="21"/>
        <v>RUA CAMPOS ELISIOS</v>
      </c>
      <c r="C45" s="666"/>
      <c r="D45" s="666"/>
      <c r="E45" s="666">
        <f t="shared" si="26"/>
        <v>0</v>
      </c>
      <c r="F45" s="921">
        <f t="shared" si="22"/>
        <v>0</v>
      </c>
      <c r="G45" s="370">
        <f t="shared" si="22"/>
        <v>0</v>
      </c>
      <c r="H45" s="371">
        <v>9.42</v>
      </c>
      <c r="I45" s="371">
        <f t="shared" si="27"/>
        <v>0</v>
      </c>
      <c r="J45" s="668">
        <f t="shared" si="28"/>
        <v>0</v>
      </c>
    </row>
    <row r="46" spans="1:10" ht="15" x14ac:dyDescent="0.2">
      <c r="A46" s="664">
        <f t="shared" si="21"/>
        <v>8</v>
      </c>
      <c r="B46" s="920" t="str">
        <f t="shared" si="21"/>
        <v>RUA SAMAMBAIAS</v>
      </c>
      <c r="C46" s="666"/>
      <c r="D46" s="666"/>
      <c r="E46" s="666">
        <f t="shared" si="26"/>
        <v>0</v>
      </c>
      <c r="F46" s="921">
        <f t="shared" si="22"/>
        <v>0</v>
      </c>
      <c r="G46" s="370">
        <f t="shared" si="22"/>
        <v>0</v>
      </c>
      <c r="H46" s="371">
        <v>18.850000000000001</v>
      </c>
      <c r="I46" s="371">
        <f t="shared" si="27"/>
        <v>0</v>
      </c>
      <c r="J46" s="668">
        <f t="shared" si="28"/>
        <v>0</v>
      </c>
    </row>
    <row r="47" spans="1:10" ht="15" x14ac:dyDescent="0.2">
      <c r="A47" s="664">
        <f t="shared" ref="A47" si="29">A19</f>
        <v>9</v>
      </c>
      <c r="B47" s="991" t="str">
        <f t="shared" ref="B47" si="30">B19</f>
        <v>RUA PARAÍSO</v>
      </c>
      <c r="C47" s="666"/>
      <c r="D47" s="666"/>
      <c r="E47" s="666">
        <f t="shared" si="26"/>
        <v>0</v>
      </c>
      <c r="F47" s="994" t="str">
        <f t="shared" ref="F47:G47" si="31">F19</f>
        <v>LR 01</v>
      </c>
      <c r="G47" s="370">
        <f t="shared" si="31"/>
        <v>2</v>
      </c>
      <c r="H47" s="371">
        <v>18.850000000000001</v>
      </c>
      <c r="I47" s="371">
        <f t="shared" si="27"/>
        <v>37.700000000000003</v>
      </c>
      <c r="J47" s="668">
        <f t="shared" si="28"/>
        <v>37.700000000000003</v>
      </c>
    </row>
    <row r="48" spans="1:10" ht="15" x14ac:dyDescent="0.2">
      <c r="A48" s="664">
        <f t="shared" ref="A48" si="32">A20</f>
        <v>10</v>
      </c>
      <c r="B48" s="991" t="str">
        <f t="shared" ref="B48" si="33">B20</f>
        <v>RUA IMPERIAL</v>
      </c>
      <c r="C48" s="666"/>
      <c r="D48" s="666"/>
      <c r="E48" s="666">
        <f t="shared" si="26"/>
        <v>0</v>
      </c>
      <c r="F48" s="994" t="str">
        <f t="shared" ref="F48:G48" si="34">F20</f>
        <v>LR 01</v>
      </c>
      <c r="G48" s="370">
        <f t="shared" si="34"/>
        <v>2</v>
      </c>
      <c r="H48" s="371">
        <v>18.850000000000001</v>
      </c>
      <c r="I48" s="371">
        <f t="shared" si="27"/>
        <v>37.700000000000003</v>
      </c>
      <c r="J48" s="668">
        <f t="shared" si="28"/>
        <v>37.700000000000003</v>
      </c>
    </row>
    <row r="49" spans="1:10" ht="15" x14ac:dyDescent="0.2">
      <c r="A49" s="664">
        <f t="shared" ref="A49" si="35">A21</f>
        <v>11</v>
      </c>
      <c r="B49" s="991" t="str">
        <f t="shared" ref="B49" si="36">B21</f>
        <v>RUA VIRTUDE</v>
      </c>
      <c r="C49" s="666"/>
      <c r="D49" s="666"/>
      <c r="E49" s="666">
        <f t="shared" si="26"/>
        <v>0</v>
      </c>
      <c r="F49" s="994" t="str">
        <f t="shared" ref="F49:G49" si="37">F21</f>
        <v>LR 01</v>
      </c>
      <c r="G49" s="370">
        <f t="shared" si="37"/>
        <v>1</v>
      </c>
      <c r="H49" s="371">
        <v>18.850000000000001</v>
      </c>
      <c r="I49" s="371">
        <f t="shared" si="27"/>
        <v>18.850000000000001</v>
      </c>
      <c r="J49" s="668">
        <f t="shared" si="28"/>
        <v>18.850000000000001</v>
      </c>
    </row>
    <row r="50" spans="1:10" ht="15" x14ac:dyDescent="0.2">
      <c r="A50" s="664">
        <f t="shared" ref="A50" si="38">A22</f>
        <v>12</v>
      </c>
      <c r="B50" s="920" t="str">
        <f>B22</f>
        <v>AV. PRESIDENTE TANCREDO NEVES</v>
      </c>
      <c r="C50" s="666"/>
      <c r="D50" s="666"/>
      <c r="E50" s="666">
        <f t="shared" si="26"/>
        <v>0</v>
      </c>
      <c r="F50" s="921" t="str">
        <f>F22</f>
        <v>LR 01</v>
      </c>
      <c r="G50" s="370">
        <f>G22</f>
        <v>2</v>
      </c>
      <c r="H50" s="371">
        <v>9.42</v>
      </c>
      <c r="I50" s="371">
        <f t="shared" si="27"/>
        <v>18.84</v>
      </c>
      <c r="J50" s="668">
        <f t="shared" si="28"/>
        <v>18.84</v>
      </c>
    </row>
    <row r="51" spans="1:10" ht="15" x14ac:dyDescent="0.2">
      <c r="A51" s="1203" t="s">
        <v>73</v>
      </c>
      <c r="B51" s="1204"/>
      <c r="C51" s="372">
        <f>SUM(C30:C50)</f>
        <v>0</v>
      </c>
      <c r="D51" s="372">
        <f>SUM(D30:D50)</f>
        <v>0</v>
      </c>
      <c r="E51" s="372">
        <f>SUM(E30:E50)</f>
        <v>0</v>
      </c>
      <c r="F51" s="809"/>
      <c r="G51" s="370"/>
      <c r="H51" s="374"/>
      <c r="I51" s="372">
        <f>SUM(I39:I50)</f>
        <v>320.33</v>
      </c>
      <c r="J51" s="377">
        <f>SUM(J39:J50)</f>
        <v>320.33</v>
      </c>
    </row>
    <row r="52" spans="1:10" ht="15" thickBot="1" x14ac:dyDescent="0.25">
      <c r="A52" s="1197" t="s">
        <v>216</v>
      </c>
      <c r="B52" s="1198"/>
      <c r="C52" s="1199">
        <f>I51+E51</f>
        <v>320.33</v>
      </c>
      <c r="D52" s="1199"/>
      <c r="E52" s="1199"/>
      <c r="F52" s="1199"/>
      <c r="G52" s="1199"/>
      <c r="H52" s="1199"/>
      <c r="I52" s="1199"/>
      <c r="J52" s="1200"/>
    </row>
    <row r="53" spans="1:10" x14ac:dyDescent="0.2">
      <c r="A53" s="563"/>
      <c r="B53" s="563"/>
      <c r="C53" s="563"/>
      <c r="D53" s="563"/>
      <c r="E53" s="563"/>
      <c r="F53" s="563"/>
      <c r="G53" s="563"/>
      <c r="H53" s="563"/>
      <c r="I53" s="563"/>
      <c r="J53" s="563"/>
    </row>
    <row r="54" spans="1:10" x14ac:dyDescent="0.2">
      <c r="A54" s="563"/>
      <c r="B54" s="563"/>
      <c r="C54" s="563"/>
      <c r="D54" s="563"/>
      <c r="E54" s="563"/>
      <c r="F54" s="563"/>
      <c r="G54" s="563"/>
      <c r="H54" s="563"/>
      <c r="I54" s="563"/>
      <c r="J54" s="563"/>
    </row>
    <row r="55" spans="1:10" x14ac:dyDescent="0.2">
      <c r="A55" s="563"/>
      <c r="B55" s="563"/>
      <c r="C55" s="563"/>
      <c r="D55" s="563"/>
      <c r="E55" s="563"/>
      <c r="F55" s="563"/>
      <c r="G55" s="563"/>
      <c r="H55" s="563"/>
      <c r="I55" s="563"/>
      <c r="J55" s="563"/>
    </row>
    <row r="56" spans="1:10" x14ac:dyDescent="0.2">
      <c r="A56" s="563"/>
      <c r="B56" s="563"/>
      <c r="C56" s="563"/>
      <c r="D56" s="563"/>
      <c r="E56" s="563"/>
      <c r="F56" s="563"/>
      <c r="G56" s="563"/>
      <c r="H56" s="563"/>
      <c r="I56" s="563"/>
      <c r="J56" s="563"/>
    </row>
    <row r="57" spans="1:10" ht="15.75" x14ac:dyDescent="0.2">
      <c r="A57" s="563"/>
      <c r="B57" s="902" t="str">
        <f>Terrap.!B26</f>
        <v>Robson Darcio Sousa</v>
      </c>
      <c r="C57" s="563"/>
      <c r="D57" s="563"/>
      <c r="E57" s="563"/>
      <c r="F57" s="563"/>
      <c r="G57" s="563"/>
      <c r="H57" s="563"/>
      <c r="I57" s="563"/>
      <c r="J57" s="563"/>
    </row>
    <row r="58" spans="1:10" x14ac:dyDescent="0.2">
      <c r="A58" s="563"/>
      <c r="B58" s="829" t="str">
        <f>Terrap.!B27</f>
        <v>ENGº CIVIL</v>
      </c>
      <c r="C58" s="563"/>
      <c r="D58" s="563"/>
      <c r="E58" s="563"/>
      <c r="F58" s="563"/>
      <c r="G58" s="563"/>
      <c r="H58" s="563"/>
      <c r="I58" s="563"/>
      <c r="J58" s="563"/>
    </row>
    <row r="59" spans="1:10" x14ac:dyDescent="0.2">
      <c r="B59" s="829" t="str">
        <f>Terrap.!B28</f>
        <v>Crea: 120.263.916-0</v>
      </c>
    </row>
  </sheetData>
  <mergeCells count="32">
    <mergeCell ref="A26:J26"/>
    <mergeCell ref="A1:J1"/>
    <mergeCell ref="A2:J2"/>
    <mergeCell ref="A23:B23"/>
    <mergeCell ref="A24:B24"/>
    <mergeCell ref="C24:J24"/>
    <mergeCell ref="A7:J7"/>
    <mergeCell ref="A8:A9"/>
    <mergeCell ref="B8:B9"/>
    <mergeCell ref="C8:D8"/>
    <mergeCell ref="E8:E9"/>
    <mergeCell ref="F8:I8"/>
    <mergeCell ref="J8:J9"/>
    <mergeCell ref="A10:J10"/>
    <mergeCell ref="B3:J3"/>
    <mergeCell ref="B4:H4"/>
    <mergeCell ref="I4:J6"/>
    <mergeCell ref="B5:D5"/>
    <mergeCell ref="F5:H5"/>
    <mergeCell ref="B6:D6"/>
    <mergeCell ref="F6:G6"/>
    <mergeCell ref="A52:B52"/>
    <mergeCell ref="C52:J52"/>
    <mergeCell ref="A27:A28"/>
    <mergeCell ref="B27:B28"/>
    <mergeCell ref="C27:D27"/>
    <mergeCell ref="E27:E28"/>
    <mergeCell ref="F27:I27"/>
    <mergeCell ref="J27:J28"/>
    <mergeCell ref="A29:J29"/>
    <mergeCell ref="A34:J34"/>
    <mergeCell ref="A51:B5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Height="0" orientation="landscape" horizontalDpi="300" verticalDpi="300" r:id="rId1"/>
  <headerFooter alignWithMargins="0"/>
  <rowBreaks count="1" manualBreakCount="1">
    <brk id="25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O55"/>
  <sheetViews>
    <sheetView view="pageBreakPreview" topLeftCell="A28" zoomScale="115" zoomScaleSheetLayoutView="115" workbookViewId="0">
      <selection activeCell="H40" sqref="H40"/>
    </sheetView>
  </sheetViews>
  <sheetFormatPr defaultColWidth="9.140625" defaultRowHeight="12.75" x14ac:dyDescent="0.2"/>
  <cols>
    <col min="1" max="1" width="12.85546875" style="268" customWidth="1"/>
    <col min="2" max="2" width="51.140625" style="268" customWidth="1"/>
    <col min="3" max="3" width="10.85546875" style="268" customWidth="1"/>
    <col min="4" max="5" width="10" style="268" customWidth="1"/>
    <col min="6" max="6" width="9.140625" style="268"/>
    <col min="7" max="7" width="7.28515625" style="268" customWidth="1"/>
    <col min="8" max="8" width="13.140625" style="268" customWidth="1"/>
    <col min="9" max="9" width="10.7109375" style="268" customWidth="1"/>
    <col min="10" max="10" width="10" style="268" customWidth="1"/>
    <col min="11" max="11" width="10.140625" style="268" customWidth="1"/>
    <col min="12" max="12" width="9.7109375" style="268" customWidth="1"/>
    <col min="13" max="16384" width="9.140625" style="268"/>
  </cols>
  <sheetData>
    <row r="1" spans="1:12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3"/>
    </row>
    <row r="2" spans="1:12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6"/>
    </row>
    <row r="3" spans="1:12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3"/>
      <c r="J3" s="1251"/>
      <c r="K3" s="1251"/>
      <c r="L3" s="1054"/>
    </row>
    <row r="4" spans="1:12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7" t="str">
        <f>Terrap.!I3</f>
        <v>SINAPI - JULHO / 2020    DESONERADO                                                                                                                           SICRO 10/2019</v>
      </c>
      <c r="J4" s="1252"/>
      <c r="K4" s="1252"/>
      <c r="L4" s="1058"/>
    </row>
    <row r="5" spans="1:12" ht="15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387" t="s">
        <v>362</v>
      </c>
      <c r="F5" s="1055" t="str">
        <f>Terrap.!F5</f>
        <v>AGOSTO 2020</v>
      </c>
      <c r="G5" s="1055"/>
      <c r="H5" s="1055"/>
      <c r="I5" s="1057"/>
      <c r="J5" s="1252"/>
      <c r="K5" s="1252"/>
      <c r="L5" s="1058"/>
    </row>
    <row r="6" spans="1:12" ht="15.75" thickBot="1" x14ac:dyDescent="0.25">
      <c r="A6" s="388" t="s">
        <v>59</v>
      </c>
      <c r="B6" s="1056">
        <f>Pavim.!B6</f>
        <v>31131.72</v>
      </c>
      <c r="C6" s="1056"/>
      <c r="D6" s="1056"/>
      <c r="E6" s="389" t="s">
        <v>60</v>
      </c>
      <c r="F6" s="1143">
        <f>Terrap.!F6</f>
        <v>0.25640000000000002</v>
      </c>
      <c r="G6" s="1143"/>
      <c r="H6" s="389" t="s">
        <v>61</v>
      </c>
      <c r="I6" s="1059"/>
      <c r="J6" s="1253"/>
      <c r="K6" s="1253"/>
      <c r="L6" s="1060"/>
    </row>
    <row r="7" spans="1:12" s="563" customFormat="1" ht="19.5" customHeight="1" thickBot="1" x14ac:dyDescent="0.25">
      <c r="A7" s="1247" t="s">
        <v>339</v>
      </c>
      <c r="B7" s="1248"/>
      <c r="C7" s="1248"/>
      <c r="D7" s="1248"/>
      <c r="E7" s="1248"/>
      <c r="F7" s="1248"/>
      <c r="G7" s="1248"/>
      <c r="H7" s="1248"/>
      <c r="I7" s="1248"/>
      <c r="J7" s="1249"/>
      <c r="K7" s="1249"/>
      <c r="L7" s="1250"/>
    </row>
    <row r="8" spans="1:12" s="677" customFormat="1" ht="14.25" customHeight="1" x14ac:dyDescent="0.2">
      <c r="A8" s="1193" t="s">
        <v>62</v>
      </c>
      <c r="B8" s="1195" t="s">
        <v>63</v>
      </c>
      <c r="C8" s="1195" t="s">
        <v>368</v>
      </c>
      <c r="D8" s="1195" t="s">
        <v>392</v>
      </c>
      <c r="E8" s="1195" t="s">
        <v>64</v>
      </c>
      <c r="F8" s="1195" t="s">
        <v>65</v>
      </c>
      <c r="G8" s="1195"/>
      <c r="H8" s="1195"/>
      <c r="I8" s="1195"/>
      <c r="J8" s="1195" t="s">
        <v>371</v>
      </c>
      <c r="K8" s="1195" t="s">
        <v>389</v>
      </c>
      <c r="L8" s="1201" t="s">
        <v>326</v>
      </c>
    </row>
    <row r="9" spans="1:12" s="677" customFormat="1" ht="33" customHeight="1" x14ac:dyDescent="0.2">
      <c r="A9" s="1194"/>
      <c r="B9" s="1196"/>
      <c r="C9" s="1196"/>
      <c r="D9" s="1196"/>
      <c r="E9" s="1196"/>
      <c r="F9" s="676" t="s">
        <v>67</v>
      </c>
      <c r="G9" s="676" t="s">
        <v>68</v>
      </c>
      <c r="H9" s="676" t="s">
        <v>370</v>
      </c>
      <c r="I9" s="676" t="s">
        <v>371</v>
      </c>
      <c r="J9" s="1196"/>
      <c r="K9" s="1196"/>
      <c r="L9" s="1202"/>
    </row>
    <row r="10" spans="1:12" s="563" customFormat="1" ht="14.25" x14ac:dyDescent="0.2">
      <c r="A10" s="1203" t="str">
        <f>Terrap.!A10</f>
        <v>TRECHO 03</v>
      </c>
      <c r="B10" s="1204"/>
      <c r="C10" s="1204"/>
      <c r="D10" s="1204"/>
      <c r="E10" s="1204"/>
      <c r="F10" s="1204"/>
      <c r="G10" s="1204"/>
      <c r="H10" s="1204"/>
      <c r="I10" s="1204"/>
      <c r="J10" s="1204"/>
      <c r="K10" s="1204"/>
      <c r="L10" s="1245"/>
    </row>
    <row r="11" spans="1:12" s="563" customFormat="1" ht="15" x14ac:dyDescent="0.2">
      <c r="A11" s="664">
        <f>Terrap.!A11</f>
        <v>1</v>
      </c>
      <c r="B11" s="659" t="str">
        <f>Terrap.!B11</f>
        <v>RUAS DAS MARGARIDAS</v>
      </c>
      <c r="C11" s="666">
        <f>'MF e Sarj.'!E11+'MF e Sarj.'!J39</f>
        <v>1162.72</v>
      </c>
      <c r="D11" s="666">
        <v>1.5</v>
      </c>
      <c r="E11" s="666">
        <f>C11*D11</f>
        <v>1744.08</v>
      </c>
      <c r="F11" s="671" t="str">
        <f>Terrap.!F11</f>
        <v>LR 01</v>
      </c>
      <c r="G11" s="370">
        <f>Terrap.!G11</f>
        <v>6</v>
      </c>
      <c r="H11" s="371">
        <f>'MF e Sarj.'!H11*D11</f>
        <v>0</v>
      </c>
      <c r="I11" s="371">
        <f t="shared" ref="I11" si="0">H11*G11</f>
        <v>0</v>
      </c>
      <c r="J11" s="678">
        <f t="shared" ref="J11" si="1">I11+E11</f>
        <v>1744.08</v>
      </c>
      <c r="K11" s="371">
        <v>7.0000000000000007E-2</v>
      </c>
      <c r="L11" s="750">
        <f>TRUNC(K11*J11,2)</f>
        <v>122.08</v>
      </c>
    </row>
    <row r="12" spans="1:12" s="563" customFormat="1" ht="15" x14ac:dyDescent="0.2">
      <c r="A12" s="664">
        <f>Terrap.!A12</f>
        <v>2</v>
      </c>
      <c r="B12" s="659" t="str">
        <f>Terrap.!B12</f>
        <v>RUA DOS GIRASSÓIS</v>
      </c>
      <c r="C12" s="666">
        <f>'MF e Sarj.'!E12+'MF e Sarj.'!J40</f>
        <v>1162.72</v>
      </c>
      <c r="D12" s="666">
        <f>$D$11</f>
        <v>1.5</v>
      </c>
      <c r="E12" s="666">
        <f t="shared" ref="E12:E45" si="2">C12*D12</f>
        <v>1744.08</v>
      </c>
      <c r="F12" s="927" t="str">
        <f>Terrap.!F12</f>
        <v>LR 01</v>
      </c>
      <c r="G12" s="370">
        <f>Terrap.!G12</f>
        <v>6</v>
      </c>
      <c r="H12" s="371">
        <f>'MF e Sarj.'!H12*D12</f>
        <v>0</v>
      </c>
      <c r="I12" s="371">
        <f t="shared" ref="I12:I45" si="3">H12*G12</f>
        <v>0</v>
      </c>
      <c r="J12" s="678">
        <f t="shared" ref="J12:J45" si="4">I12+E12</f>
        <v>1744.08</v>
      </c>
      <c r="K12" s="371">
        <f>$K$11</f>
        <v>7.0000000000000007E-2</v>
      </c>
      <c r="L12" s="750">
        <f t="shared" ref="L12:L45" si="5">TRUNC(K12*J12,2)</f>
        <v>122.08</v>
      </c>
    </row>
    <row r="13" spans="1:12" s="563" customFormat="1" ht="15" x14ac:dyDescent="0.2">
      <c r="A13" s="664">
        <f>Terrap.!A13</f>
        <v>3</v>
      </c>
      <c r="B13" s="659" t="str">
        <f>Terrap.!B13</f>
        <v>RUAS DAS CEREJEIRAS</v>
      </c>
      <c r="C13" s="666">
        <f>'MF e Sarj.'!E13+'MF e Sarj.'!J41</f>
        <v>1142.78</v>
      </c>
      <c r="D13" s="666">
        <f t="shared" ref="D13:D45" si="6">$D$11</f>
        <v>1.5</v>
      </c>
      <c r="E13" s="666">
        <f t="shared" si="2"/>
        <v>1714.17</v>
      </c>
      <c r="F13" s="927" t="str">
        <f>Terrap.!F13</f>
        <v>LR 01</v>
      </c>
      <c r="G13" s="370">
        <f>Terrap.!G13</f>
        <v>4</v>
      </c>
      <c r="H13" s="371">
        <f>'MF e Sarj.'!H13*D13</f>
        <v>0</v>
      </c>
      <c r="I13" s="371">
        <f t="shared" si="3"/>
        <v>0</v>
      </c>
      <c r="J13" s="678">
        <f t="shared" si="4"/>
        <v>1714.17</v>
      </c>
      <c r="K13" s="371">
        <f t="shared" ref="K13:K45" si="7">$K$11</f>
        <v>7.0000000000000007E-2</v>
      </c>
      <c r="L13" s="750">
        <f t="shared" si="5"/>
        <v>119.99</v>
      </c>
    </row>
    <row r="14" spans="1:12" s="563" customFormat="1" ht="15" x14ac:dyDescent="0.2">
      <c r="A14" s="664">
        <f>Terrap.!A14</f>
        <v>4</v>
      </c>
      <c r="B14" s="659" t="str">
        <f>Terrap.!B14</f>
        <v>RUA DAS JARACATIÁS</v>
      </c>
      <c r="C14" s="666">
        <f>'MF e Sarj.'!E14+'MF e Sarj.'!J42</f>
        <v>1267.28</v>
      </c>
      <c r="D14" s="666">
        <f t="shared" si="6"/>
        <v>1.5</v>
      </c>
      <c r="E14" s="666">
        <f t="shared" si="2"/>
        <v>1900.92</v>
      </c>
      <c r="F14" s="927" t="str">
        <f>Terrap.!F14</f>
        <v>LR 01</v>
      </c>
      <c r="G14" s="370">
        <f>Terrap.!G14</f>
        <v>4</v>
      </c>
      <c r="H14" s="371">
        <f>'MF e Sarj.'!H14*D14</f>
        <v>26.93</v>
      </c>
      <c r="I14" s="371">
        <f t="shared" si="3"/>
        <v>107.72</v>
      </c>
      <c r="J14" s="678">
        <f t="shared" si="4"/>
        <v>2008.64</v>
      </c>
      <c r="K14" s="371">
        <f t="shared" si="7"/>
        <v>7.0000000000000007E-2</v>
      </c>
      <c r="L14" s="750">
        <f t="shared" si="5"/>
        <v>140.6</v>
      </c>
    </row>
    <row r="15" spans="1:12" s="563" customFormat="1" ht="15" x14ac:dyDescent="0.2">
      <c r="A15" s="664">
        <f>Terrap.!A15</f>
        <v>5</v>
      </c>
      <c r="B15" s="659" t="str">
        <f>Terrap.!B15</f>
        <v>AV CONSTITUINTE</v>
      </c>
      <c r="C15" s="666">
        <f>'MF e Sarj.'!E15+'MF e Sarj.'!J43</f>
        <v>374.08</v>
      </c>
      <c r="D15" s="666">
        <f t="shared" si="6"/>
        <v>1.5</v>
      </c>
      <c r="E15" s="666">
        <f t="shared" si="2"/>
        <v>561.12</v>
      </c>
      <c r="F15" s="927" t="str">
        <f>Terrap.!F15</f>
        <v>LR 01</v>
      </c>
      <c r="G15" s="370">
        <f>Terrap.!G15</f>
        <v>1</v>
      </c>
      <c r="H15" s="371">
        <f>'MF e Sarj.'!H15*D15</f>
        <v>0</v>
      </c>
      <c r="I15" s="371">
        <f t="shared" si="3"/>
        <v>0</v>
      </c>
      <c r="J15" s="678">
        <f t="shared" si="4"/>
        <v>561.12</v>
      </c>
      <c r="K15" s="371">
        <f t="shared" si="7"/>
        <v>7.0000000000000007E-2</v>
      </c>
      <c r="L15" s="750">
        <f t="shared" si="5"/>
        <v>39.270000000000003</v>
      </c>
    </row>
    <row r="16" spans="1:12" s="563" customFormat="1" ht="15" x14ac:dyDescent="0.2">
      <c r="A16" s="664">
        <f>Terrap.!A16</f>
        <v>6</v>
      </c>
      <c r="B16" s="659" t="str">
        <f>Terrap.!B16</f>
        <v>RUA FLAMBOYANT</v>
      </c>
      <c r="C16" s="666">
        <f>'MF e Sarj.'!E16+'MF e Sarj.'!J44</f>
        <v>440.24</v>
      </c>
      <c r="D16" s="666">
        <f t="shared" si="6"/>
        <v>1.5</v>
      </c>
      <c r="E16" s="666">
        <f t="shared" si="2"/>
        <v>660.36</v>
      </c>
      <c r="F16" s="927" t="str">
        <f>Terrap.!F16</f>
        <v>LR05</v>
      </c>
      <c r="G16" s="370">
        <f>Terrap.!G16</f>
        <v>1</v>
      </c>
      <c r="H16" s="371">
        <f>'MF e Sarj.'!H16*D16</f>
        <v>4.1100000000000003</v>
      </c>
      <c r="I16" s="371">
        <f t="shared" si="3"/>
        <v>4.1100000000000003</v>
      </c>
      <c r="J16" s="678">
        <f t="shared" si="4"/>
        <v>664.47</v>
      </c>
      <c r="K16" s="371">
        <f t="shared" si="7"/>
        <v>7.0000000000000007E-2</v>
      </c>
      <c r="L16" s="750">
        <f t="shared" si="5"/>
        <v>46.51</v>
      </c>
    </row>
    <row r="17" spans="1:12" s="563" customFormat="1" ht="15" x14ac:dyDescent="0.2">
      <c r="A17" s="664">
        <f>Terrap.!A17</f>
        <v>7</v>
      </c>
      <c r="B17" s="659" t="str">
        <f>Terrap.!B17</f>
        <v>RUA CAMPOS ELISIOS</v>
      </c>
      <c r="C17" s="666">
        <f>'MF e Sarj.'!E17+'MF e Sarj.'!J45</f>
        <v>431.2</v>
      </c>
      <c r="D17" s="666">
        <f t="shared" si="6"/>
        <v>1.5</v>
      </c>
      <c r="E17" s="666">
        <f t="shared" si="2"/>
        <v>646.79999999999995</v>
      </c>
      <c r="F17" s="927">
        <f>Terrap.!F17</f>
        <v>0</v>
      </c>
      <c r="G17" s="370">
        <f>Terrap.!G17</f>
        <v>0</v>
      </c>
      <c r="H17" s="371">
        <f>'MF e Sarj.'!H17*D17</f>
        <v>4.1100000000000003</v>
      </c>
      <c r="I17" s="371">
        <f t="shared" si="3"/>
        <v>0</v>
      </c>
      <c r="J17" s="678">
        <f t="shared" si="4"/>
        <v>646.79999999999995</v>
      </c>
      <c r="K17" s="371">
        <f t="shared" si="7"/>
        <v>7.0000000000000007E-2</v>
      </c>
      <c r="L17" s="750">
        <f t="shared" si="5"/>
        <v>45.27</v>
      </c>
    </row>
    <row r="18" spans="1:12" s="563" customFormat="1" ht="15" x14ac:dyDescent="0.2">
      <c r="A18" s="664">
        <f>Terrap.!A18</f>
        <v>8</v>
      </c>
      <c r="B18" s="659" t="str">
        <f>Terrap.!B18</f>
        <v>RUA SAMAMBAIAS</v>
      </c>
      <c r="C18" s="666">
        <f>'MF e Sarj.'!E18+'MF e Sarj.'!J46</f>
        <v>439</v>
      </c>
      <c r="D18" s="666">
        <f t="shared" si="6"/>
        <v>1.5</v>
      </c>
      <c r="E18" s="666">
        <f t="shared" si="2"/>
        <v>658.5</v>
      </c>
      <c r="F18" s="927">
        <f>Terrap.!F18</f>
        <v>0</v>
      </c>
      <c r="G18" s="370">
        <f>Terrap.!G18</f>
        <v>0</v>
      </c>
      <c r="H18" s="371">
        <f>'MF e Sarj.'!H18*D18</f>
        <v>0</v>
      </c>
      <c r="I18" s="371">
        <f t="shared" si="3"/>
        <v>0</v>
      </c>
      <c r="J18" s="678">
        <f t="shared" si="4"/>
        <v>658.5</v>
      </c>
      <c r="K18" s="371">
        <f t="shared" si="7"/>
        <v>7.0000000000000007E-2</v>
      </c>
      <c r="L18" s="750">
        <f t="shared" si="5"/>
        <v>46.09</v>
      </c>
    </row>
    <row r="19" spans="1:12" s="563" customFormat="1" ht="15" x14ac:dyDescent="0.2">
      <c r="A19" s="664" t="e">
        <f>Terrap.!#REF!</f>
        <v>#REF!</v>
      </c>
      <c r="B19" s="659" t="e">
        <f>Terrap.!#REF!</f>
        <v>#REF!</v>
      </c>
      <c r="C19" s="666" t="e">
        <f>'MF e Sarj.'!#REF!+'MF e Sarj.'!#REF!</f>
        <v>#REF!</v>
      </c>
      <c r="D19" s="666">
        <f t="shared" si="6"/>
        <v>1.5</v>
      </c>
      <c r="E19" s="666" t="e">
        <f t="shared" si="2"/>
        <v>#REF!</v>
      </c>
      <c r="F19" s="927" t="e">
        <f>Terrap.!#REF!</f>
        <v>#REF!</v>
      </c>
      <c r="G19" s="370" t="e">
        <f>Terrap.!#REF!</f>
        <v>#REF!</v>
      </c>
      <c r="H19" s="371" t="e">
        <f>'MF e Sarj.'!#REF!*D19</f>
        <v>#REF!</v>
      </c>
      <c r="I19" s="371" t="e">
        <f t="shared" si="3"/>
        <v>#REF!</v>
      </c>
      <c r="J19" s="678" t="e">
        <f t="shared" si="4"/>
        <v>#REF!</v>
      </c>
      <c r="K19" s="371">
        <f t="shared" si="7"/>
        <v>7.0000000000000007E-2</v>
      </c>
      <c r="L19" s="750" t="e">
        <f t="shared" si="5"/>
        <v>#REF!</v>
      </c>
    </row>
    <row r="20" spans="1:12" s="563" customFormat="1" ht="15" x14ac:dyDescent="0.2">
      <c r="A20" s="664" t="e">
        <f>Terrap.!#REF!</f>
        <v>#REF!</v>
      </c>
      <c r="B20" s="659" t="e">
        <f>Terrap.!#REF!</f>
        <v>#REF!</v>
      </c>
      <c r="C20" s="666" t="e">
        <f>'MF e Sarj.'!#REF!+'MF e Sarj.'!#REF!</f>
        <v>#REF!</v>
      </c>
      <c r="D20" s="666">
        <f t="shared" si="6"/>
        <v>1.5</v>
      </c>
      <c r="E20" s="666" t="e">
        <f t="shared" si="2"/>
        <v>#REF!</v>
      </c>
      <c r="F20" s="927" t="e">
        <f>Terrap.!#REF!</f>
        <v>#REF!</v>
      </c>
      <c r="G20" s="370" t="e">
        <f>Terrap.!#REF!</f>
        <v>#REF!</v>
      </c>
      <c r="H20" s="371" t="e">
        <f>'MF e Sarj.'!#REF!*D20</f>
        <v>#REF!</v>
      </c>
      <c r="I20" s="371" t="e">
        <f t="shared" si="3"/>
        <v>#REF!</v>
      </c>
      <c r="J20" s="678" t="e">
        <f t="shared" si="4"/>
        <v>#REF!</v>
      </c>
      <c r="K20" s="371">
        <f t="shared" si="7"/>
        <v>7.0000000000000007E-2</v>
      </c>
      <c r="L20" s="750" t="e">
        <f t="shared" si="5"/>
        <v>#REF!</v>
      </c>
    </row>
    <row r="21" spans="1:12" s="563" customFormat="1" ht="15" x14ac:dyDescent="0.2">
      <c r="A21" s="664" t="e">
        <f>Terrap.!#REF!</f>
        <v>#REF!</v>
      </c>
      <c r="B21" s="659" t="e">
        <f>Terrap.!#REF!</f>
        <v>#REF!</v>
      </c>
      <c r="C21" s="666" t="e">
        <f>'MF e Sarj.'!#REF!+'MF e Sarj.'!#REF!</f>
        <v>#REF!</v>
      </c>
      <c r="D21" s="666">
        <f t="shared" si="6"/>
        <v>1.5</v>
      </c>
      <c r="E21" s="666" t="e">
        <f t="shared" si="2"/>
        <v>#REF!</v>
      </c>
      <c r="F21" s="927" t="e">
        <f>Terrap.!#REF!</f>
        <v>#REF!</v>
      </c>
      <c r="G21" s="370" t="e">
        <f>Terrap.!#REF!</f>
        <v>#REF!</v>
      </c>
      <c r="H21" s="371" t="e">
        <f>'MF e Sarj.'!#REF!*D21</f>
        <v>#REF!</v>
      </c>
      <c r="I21" s="371" t="e">
        <f t="shared" si="3"/>
        <v>#REF!</v>
      </c>
      <c r="J21" s="678" t="e">
        <f t="shared" si="4"/>
        <v>#REF!</v>
      </c>
      <c r="K21" s="371">
        <f t="shared" si="7"/>
        <v>7.0000000000000007E-2</v>
      </c>
      <c r="L21" s="750" t="e">
        <f t="shared" si="5"/>
        <v>#REF!</v>
      </c>
    </row>
    <row r="22" spans="1:12" s="563" customFormat="1" ht="15" x14ac:dyDescent="0.2">
      <c r="A22" s="664" t="e">
        <f>Terrap.!#REF!</f>
        <v>#REF!</v>
      </c>
      <c r="B22" s="659" t="e">
        <f>Terrap.!#REF!</f>
        <v>#REF!</v>
      </c>
      <c r="C22" s="666" t="e">
        <f>'MF e Sarj.'!#REF!+'MF e Sarj.'!#REF!</f>
        <v>#REF!</v>
      </c>
      <c r="D22" s="666">
        <f t="shared" si="6"/>
        <v>1.5</v>
      </c>
      <c r="E22" s="666" t="e">
        <f t="shared" si="2"/>
        <v>#REF!</v>
      </c>
      <c r="F22" s="927" t="e">
        <f>Terrap.!#REF!</f>
        <v>#REF!</v>
      </c>
      <c r="G22" s="370" t="e">
        <f>Terrap.!#REF!</f>
        <v>#REF!</v>
      </c>
      <c r="H22" s="371" t="e">
        <f>'MF e Sarj.'!#REF!*D22</f>
        <v>#REF!</v>
      </c>
      <c r="I22" s="371" t="e">
        <f t="shared" si="3"/>
        <v>#REF!</v>
      </c>
      <c r="J22" s="678" t="e">
        <f t="shared" si="4"/>
        <v>#REF!</v>
      </c>
      <c r="K22" s="371">
        <f t="shared" si="7"/>
        <v>7.0000000000000007E-2</v>
      </c>
      <c r="L22" s="750" t="e">
        <f t="shared" si="5"/>
        <v>#REF!</v>
      </c>
    </row>
    <row r="23" spans="1:12" s="563" customFormat="1" ht="15" x14ac:dyDescent="0.2">
      <c r="A23" s="664" t="e">
        <f>Terrap.!#REF!</f>
        <v>#REF!</v>
      </c>
      <c r="B23" s="659" t="e">
        <f>Terrap.!#REF!</f>
        <v>#REF!</v>
      </c>
      <c r="C23" s="666" t="e">
        <f>'MF e Sarj.'!#REF!+'MF e Sarj.'!#REF!</f>
        <v>#REF!</v>
      </c>
      <c r="D23" s="666">
        <f t="shared" si="6"/>
        <v>1.5</v>
      </c>
      <c r="E23" s="666" t="e">
        <f t="shared" si="2"/>
        <v>#REF!</v>
      </c>
      <c r="F23" s="927" t="e">
        <f>Terrap.!#REF!</f>
        <v>#REF!</v>
      </c>
      <c r="G23" s="370" t="e">
        <f>Terrap.!#REF!</f>
        <v>#REF!</v>
      </c>
      <c r="H23" s="371" t="e">
        <f>'MF e Sarj.'!#REF!*D23</f>
        <v>#REF!</v>
      </c>
      <c r="I23" s="371" t="e">
        <f t="shared" si="3"/>
        <v>#REF!</v>
      </c>
      <c r="J23" s="678" t="e">
        <f t="shared" si="4"/>
        <v>#REF!</v>
      </c>
      <c r="K23" s="371">
        <f t="shared" si="7"/>
        <v>7.0000000000000007E-2</v>
      </c>
      <c r="L23" s="750" t="e">
        <f t="shared" si="5"/>
        <v>#REF!</v>
      </c>
    </row>
    <row r="24" spans="1:12" s="563" customFormat="1" ht="15" x14ac:dyDescent="0.2">
      <c r="A24" s="664" t="e">
        <f>Terrap.!#REF!</f>
        <v>#REF!</v>
      </c>
      <c r="B24" s="659" t="e">
        <f>Terrap.!#REF!</f>
        <v>#REF!</v>
      </c>
      <c r="C24" s="666" t="e">
        <f>'MF e Sarj.'!#REF!+'MF e Sarj.'!#REF!</f>
        <v>#REF!</v>
      </c>
      <c r="D24" s="666">
        <f t="shared" si="6"/>
        <v>1.5</v>
      </c>
      <c r="E24" s="666" t="e">
        <f t="shared" si="2"/>
        <v>#REF!</v>
      </c>
      <c r="F24" s="927" t="e">
        <f>Terrap.!#REF!</f>
        <v>#REF!</v>
      </c>
      <c r="G24" s="370" t="e">
        <f>Terrap.!#REF!</f>
        <v>#REF!</v>
      </c>
      <c r="H24" s="371" t="e">
        <f>'MF e Sarj.'!#REF!*D24</f>
        <v>#REF!</v>
      </c>
      <c r="I24" s="371" t="e">
        <f t="shared" si="3"/>
        <v>#REF!</v>
      </c>
      <c r="J24" s="678" t="e">
        <f t="shared" si="4"/>
        <v>#REF!</v>
      </c>
      <c r="K24" s="371">
        <f t="shared" si="7"/>
        <v>7.0000000000000007E-2</v>
      </c>
      <c r="L24" s="750" t="e">
        <f t="shared" si="5"/>
        <v>#REF!</v>
      </c>
    </row>
    <row r="25" spans="1:12" s="563" customFormat="1" ht="15" x14ac:dyDescent="0.2">
      <c r="A25" s="664" t="e">
        <f>Terrap.!#REF!</f>
        <v>#REF!</v>
      </c>
      <c r="B25" s="659" t="e">
        <f>Terrap.!#REF!</f>
        <v>#REF!</v>
      </c>
      <c r="C25" s="666" t="e">
        <f>'MF e Sarj.'!#REF!+'MF e Sarj.'!#REF!</f>
        <v>#REF!</v>
      </c>
      <c r="D25" s="666">
        <f t="shared" si="6"/>
        <v>1.5</v>
      </c>
      <c r="E25" s="666" t="e">
        <f t="shared" si="2"/>
        <v>#REF!</v>
      </c>
      <c r="F25" s="927" t="e">
        <f>Terrap.!#REF!</f>
        <v>#REF!</v>
      </c>
      <c r="G25" s="370" t="e">
        <f>Terrap.!#REF!</f>
        <v>#REF!</v>
      </c>
      <c r="H25" s="371" t="e">
        <f>'MF e Sarj.'!#REF!*D25</f>
        <v>#REF!</v>
      </c>
      <c r="I25" s="371" t="e">
        <f t="shared" si="3"/>
        <v>#REF!</v>
      </c>
      <c r="J25" s="678" t="e">
        <f t="shared" si="4"/>
        <v>#REF!</v>
      </c>
      <c r="K25" s="371">
        <f t="shared" si="7"/>
        <v>7.0000000000000007E-2</v>
      </c>
      <c r="L25" s="750" t="e">
        <f t="shared" si="5"/>
        <v>#REF!</v>
      </c>
    </row>
    <row r="26" spans="1:12" s="563" customFormat="1" ht="15" x14ac:dyDescent="0.2">
      <c r="A26" s="664">
        <f>Terrap.!A22</f>
        <v>12</v>
      </c>
      <c r="B26" s="659" t="str">
        <f>Terrap.!B22</f>
        <v>AV. PRESIDENTE TANCREDO NEVES</v>
      </c>
      <c r="C26" s="666">
        <f>'MF e Sarj.'!E22+'MF e Sarj.'!J50</f>
        <v>138.63999999999999</v>
      </c>
      <c r="D26" s="666">
        <f t="shared" si="6"/>
        <v>1.5</v>
      </c>
      <c r="E26" s="666">
        <f t="shared" si="2"/>
        <v>207.96</v>
      </c>
      <c r="F26" s="927" t="str">
        <f>Terrap.!F22</f>
        <v>LR 01</v>
      </c>
      <c r="G26" s="370">
        <f>Terrap.!G22</f>
        <v>2</v>
      </c>
      <c r="H26" s="371">
        <f>'MF e Sarj.'!H22*D26</f>
        <v>0</v>
      </c>
      <c r="I26" s="371">
        <f t="shared" si="3"/>
        <v>0</v>
      </c>
      <c r="J26" s="678">
        <f t="shared" si="4"/>
        <v>207.96</v>
      </c>
      <c r="K26" s="371">
        <f t="shared" si="7"/>
        <v>7.0000000000000007E-2</v>
      </c>
      <c r="L26" s="750">
        <f t="shared" si="5"/>
        <v>14.55</v>
      </c>
    </row>
    <row r="27" spans="1:12" s="563" customFormat="1" ht="15" x14ac:dyDescent="0.2">
      <c r="A27" s="664" t="e">
        <f>Terrap.!#REF!</f>
        <v>#REF!</v>
      </c>
      <c r="B27" s="659" t="e">
        <f>Terrap.!#REF!</f>
        <v>#REF!</v>
      </c>
      <c r="C27" s="666" t="e">
        <f>'MF e Sarj.'!#REF!+'MF e Sarj.'!#REF!</f>
        <v>#REF!</v>
      </c>
      <c r="D27" s="666">
        <f t="shared" si="6"/>
        <v>1.5</v>
      </c>
      <c r="E27" s="666" t="e">
        <f t="shared" si="2"/>
        <v>#REF!</v>
      </c>
      <c r="F27" s="927" t="e">
        <f>Terrap.!#REF!</f>
        <v>#REF!</v>
      </c>
      <c r="G27" s="370" t="e">
        <f>Terrap.!#REF!</f>
        <v>#REF!</v>
      </c>
      <c r="H27" s="371" t="e">
        <f>'MF e Sarj.'!#REF!*D27</f>
        <v>#REF!</v>
      </c>
      <c r="I27" s="371" t="e">
        <f t="shared" si="3"/>
        <v>#REF!</v>
      </c>
      <c r="J27" s="678" t="e">
        <f t="shared" si="4"/>
        <v>#REF!</v>
      </c>
      <c r="K27" s="371">
        <f t="shared" si="7"/>
        <v>7.0000000000000007E-2</v>
      </c>
      <c r="L27" s="750" t="e">
        <f t="shared" si="5"/>
        <v>#REF!</v>
      </c>
    </row>
    <row r="28" spans="1:12" s="563" customFormat="1" ht="15" x14ac:dyDescent="0.2">
      <c r="A28" s="664" t="e">
        <f>Terrap.!#REF!</f>
        <v>#REF!</v>
      </c>
      <c r="B28" s="659" t="e">
        <f>Terrap.!#REF!</f>
        <v>#REF!</v>
      </c>
      <c r="C28" s="666" t="e">
        <f>'MF e Sarj.'!#REF!+'MF e Sarj.'!#REF!</f>
        <v>#REF!</v>
      </c>
      <c r="D28" s="666">
        <f t="shared" si="6"/>
        <v>1.5</v>
      </c>
      <c r="E28" s="666" t="e">
        <f t="shared" si="2"/>
        <v>#REF!</v>
      </c>
      <c r="F28" s="927" t="e">
        <f>Terrap.!#REF!</f>
        <v>#REF!</v>
      </c>
      <c r="G28" s="370" t="e">
        <f>Terrap.!#REF!</f>
        <v>#REF!</v>
      </c>
      <c r="H28" s="371" t="e">
        <f>'MF e Sarj.'!#REF!*D28</f>
        <v>#REF!</v>
      </c>
      <c r="I28" s="371" t="e">
        <f t="shared" si="3"/>
        <v>#REF!</v>
      </c>
      <c r="J28" s="678" t="e">
        <f t="shared" si="4"/>
        <v>#REF!</v>
      </c>
      <c r="K28" s="371">
        <f t="shared" si="7"/>
        <v>7.0000000000000007E-2</v>
      </c>
      <c r="L28" s="750" t="e">
        <f t="shared" si="5"/>
        <v>#REF!</v>
      </c>
    </row>
    <row r="29" spans="1:12" s="563" customFormat="1" ht="15" x14ac:dyDescent="0.2">
      <c r="A29" s="664" t="e">
        <f>Terrap.!#REF!</f>
        <v>#REF!</v>
      </c>
      <c r="B29" s="659" t="e">
        <f>Terrap.!#REF!</f>
        <v>#REF!</v>
      </c>
      <c r="C29" s="666" t="e">
        <f>'MF e Sarj.'!#REF!+'MF e Sarj.'!#REF!</f>
        <v>#REF!</v>
      </c>
      <c r="D29" s="666">
        <f t="shared" si="6"/>
        <v>1.5</v>
      </c>
      <c r="E29" s="666" t="e">
        <f t="shared" si="2"/>
        <v>#REF!</v>
      </c>
      <c r="F29" s="927" t="e">
        <f>Terrap.!#REF!</f>
        <v>#REF!</v>
      </c>
      <c r="G29" s="370" t="e">
        <f>Terrap.!#REF!</f>
        <v>#REF!</v>
      </c>
      <c r="H29" s="371" t="e">
        <f>'MF e Sarj.'!#REF!*D29</f>
        <v>#REF!</v>
      </c>
      <c r="I29" s="371" t="e">
        <f t="shared" si="3"/>
        <v>#REF!</v>
      </c>
      <c r="J29" s="678" t="e">
        <f t="shared" si="4"/>
        <v>#REF!</v>
      </c>
      <c r="K29" s="371">
        <f t="shared" si="7"/>
        <v>7.0000000000000007E-2</v>
      </c>
      <c r="L29" s="750" t="e">
        <f t="shared" si="5"/>
        <v>#REF!</v>
      </c>
    </row>
    <row r="30" spans="1:12" s="563" customFormat="1" ht="15" x14ac:dyDescent="0.2">
      <c r="A30" s="664" t="e">
        <f>Terrap.!#REF!</f>
        <v>#REF!</v>
      </c>
      <c r="B30" s="659" t="e">
        <f>Terrap.!#REF!</f>
        <v>#REF!</v>
      </c>
      <c r="C30" s="666" t="e">
        <f>'MF e Sarj.'!#REF!+'MF e Sarj.'!#REF!</f>
        <v>#REF!</v>
      </c>
      <c r="D30" s="666">
        <f t="shared" si="6"/>
        <v>1.5</v>
      </c>
      <c r="E30" s="666" t="e">
        <f t="shared" si="2"/>
        <v>#REF!</v>
      </c>
      <c r="F30" s="927" t="e">
        <f>Terrap.!#REF!</f>
        <v>#REF!</v>
      </c>
      <c r="G30" s="370" t="e">
        <f>Terrap.!#REF!</f>
        <v>#REF!</v>
      </c>
      <c r="H30" s="371" t="e">
        <f>'MF e Sarj.'!#REF!*D30</f>
        <v>#REF!</v>
      </c>
      <c r="I30" s="371" t="e">
        <f t="shared" si="3"/>
        <v>#REF!</v>
      </c>
      <c r="J30" s="678" t="e">
        <f t="shared" si="4"/>
        <v>#REF!</v>
      </c>
      <c r="K30" s="371">
        <f t="shared" si="7"/>
        <v>7.0000000000000007E-2</v>
      </c>
      <c r="L30" s="750" t="e">
        <f t="shared" si="5"/>
        <v>#REF!</v>
      </c>
    </row>
    <row r="31" spans="1:12" s="563" customFormat="1" ht="15" x14ac:dyDescent="0.2">
      <c r="A31" s="664" t="e">
        <f>Terrap.!#REF!</f>
        <v>#REF!</v>
      </c>
      <c r="B31" s="659" t="e">
        <f>Terrap.!#REF!</f>
        <v>#REF!</v>
      </c>
      <c r="C31" s="666" t="e">
        <f>'MF e Sarj.'!#REF!+'MF e Sarj.'!#REF!</f>
        <v>#REF!</v>
      </c>
      <c r="D31" s="666">
        <f t="shared" si="6"/>
        <v>1.5</v>
      </c>
      <c r="E31" s="666" t="e">
        <f t="shared" si="2"/>
        <v>#REF!</v>
      </c>
      <c r="F31" s="927" t="e">
        <f>Terrap.!#REF!</f>
        <v>#REF!</v>
      </c>
      <c r="G31" s="370" t="e">
        <f>Terrap.!#REF!</f>
        <v>#REF!</v>
      </c>
      <c r="H31" s="371" t="e">
        <f>'MF e Sarj.'!#REF!*D31</f>
        <v>#REF!</v>
      </c>
      <c r="I31" s="371" t="e">
        <f t="shared" si="3"/>
        <v>#REF!</v>
      </c>
      <c r="J31" s="678" t="e">
        <f t="shared" si="4"/>
        <v>#REF!</v>
      </c>
      <c r="K31" s="371">
        <f t="shared" si="7"/>
        <v>7.0000000000000007E-2</v>
      </c>
      <c r="L31" s="750" t="e">
        <f t="shared" si="5"/>
        <v>#REF!</v>
      </c>
    </row>
    <row r="32" spans="1:12" s="563" customFormat="1" ht="15" x14ac:dyDescent="0.2">
      <c r="A32" s="664" t="e">
        <f>Terrap.!#REF!</f>
        <v>#REF!</v>
      </c>
      <c r="B32" s="659" t="e">
        <f>Terrap.!#REF!</f>
        <v>#REF!</v>
      </c>
      <c r="C32" s="666" t="e">
        <f>'MF e Sarj.'!#REF!+'MF e Sarj.'!#REF!</f>
        <v>#REF!</v>
      </c>
      <c r="D32" s="666">
        <f t="shared" si="6"/>
        <v>1.5</v>
      </c>
      <c r="E32" s="666" t="e">
        <f t="shared" si="2"/>
        <v>#REF!</v>
      </c>
      <c r="F32" s="927" t="e">
        <f>Terrap.!#REF!</f>
        <v>#REF!</v>
      </c>
      <c r="G32" s="370" t="e">
        <f>Terrap.!#REF!</f>
        <v>#REF!</v>
      </c>
      <c r="H32" s="371" t="e">
        <f>'MF e Sarj.'!#REF!*D32</f>
        <v>#REF!</v>
      </c>
      <c r="I32" s="371" t="e">
        <f t="shared" si="3"/>
        <v>#REF!</v>
      </c>
      <c r="J32" s="678" t="e">
        <f t="shared" si="4"/>
        <v>#REF!</v>
      </c>
      <c r="K32" s="371">
        <f t="shared" si="7"/>
        <v>7.0000000000000007E-2</v>
      </c>
      <c r="L32" s="750" t="e">
        <f t="shared" si="5"/>
        <v>#REF!</v>
      </c>
    </row>
    <row r="33" spans="1:15" s="563" customFormat="1" ht="15" x14ac:dyDescent="0.2">
      <c r="A33" s="664" t="e">
        <f>Terrap.!#REF!</f>
        <v>#REF!</v>
      </c>
      <c r="B33" s="659" t="e">
        <f>Terrap.!#REF!</f>
        <v>#REF!</v>
      </c>
      <c r="C33" s="666" t="e">
        <f>'MF e Sarj.'!#REF!+'MF e Sarj.'!#REF!</f>
        <v>#REF!</v>
      </c>
      <c r="D33" s="666">
        <f t="shared" si="6"/>
        <v>1.5</v>
      </c>
      <c r="E33" s="666" t="e">
        <f t="shared" si="2"/>
        <v>#REF!</v>
      </c>
      <c r="F33" s="927" t="e">
        <f>Terrap.!#REF!</f>
        <v>#REF!</v>
      </c>
      <c r="G33" s="370" t="e">
        <f>Terrap.!#REF!</f>
        <v>#REF!</v>
      </c>
      <c r="H33" s="371" t="e">
        <f>'MF e Sarj.'!#REF!*D33</f>
        <v>#REF!</v>
      </c>
      <c r="I33" s="371" t="e">
        <f t="shared" si="3"/>
        <v>#REF!</v>
      </c>
      <c r="J33" s="678" t="e">
        <f t="shared" si="4"/>
        <v>#REF!</v>
      </c>
      <c r="K33" s="371">
        <f t="shared" si="7"/>
        <v>7.0000000000000007E-2</v>
      </c>
      <c r="L33" s="750" t="e">
        <f t="shared" si="5"/>
        <v>#REF!</v>
      </c>
    </row>
    <row r="34" spans="1:15" s="563" customFormat="1" ht="15" x14ac:dyDescent="0.2">
      <c r="A34" s="664" t="e">
        <f>Terrap.!#REF!</f>
        <v>#REF!</v>
      </c>
      <c r="B34" s="659" t="e">
        <f>Terrap.!#REF!</f>
        <v>#REF!</v>
      </c>
      <c r="C34" s="666" t="e">
        <f>'MF e Sarj.'!#REF!+'MF e Sarj.'!#REF!</f>
        <v>#REF!</v>
      </c>
      <c r="D34" s="666">
        <f t="shared" si="6"/>
        <v>1.5</v>
      </c>
      <c r="E34" s="666" t="e">
        <f t="shared" si="2"/>
        <v>#REF!</v>
      </c>
      <c r="F34" s="927" t="e">
        <f>Terrap.!#REF!</f>
        <v>#REF!</v>
      </c>
      <c r="G34" s="370" t="e">
        <f>Terrap.!#REF!</f>
        <v>#REF!</v>
      </c>
      <c r="H34" s="371" t="e">
        <f>'MF e Sarj.'!#REF!*D34</f>
        <v>#REF!</v>
      </c>
      <c r="I34" s="371" t="e">
        <f t="shared" si="3"/>
        <v>#REF!</v>
      </c>
      <c r="J34" s="678" t="e">
        <f t="shared" si="4"/>
        <v>#REF!</v>
      </c>
      <c r="K34" s="371">
        <f t="shared" si="7"/>
        <v>7.0000000000000007E-2</v>
      </c>
      <c r="L34" s="750" t="e">
        <f t="shared" si="5"/>
        <v>#REF!</v>
      </c>
    </row>
    <row r="35" spans="1:15" s="563" customFormat="1" ht="15" x14ac:dyDescent="0.2">
      <c r="A35" s="664" t="e">
        <f>Terrap.!#REF!</f>
        <v>#REF!</v>
      </c>
      <c r="B35" s="659" t="e">
        <f>Terrap.!#REF!</f>
        <v>#REF!</v>
      </c>
      <c r="C35" s="666" t="e">
        <f>'MF e Sarj.'!#REF!+'MF e Sarj.'!#REF!</f>
        <v>#REF!</v>
      </c>
      <c r="D35" s="666">
        <f t="shared" si="6"/>
        <v>1.5</v>
      </c>
      <c r="E35" s="666" t="e">
        <f t="shared" si="2"/>
        <v>#REF!</v>
      </c>
      <c r="F35" s="927" t="e">
        <f>Terrap.!#REF!</f>
        <v>#REF!</v>
      </c>
      <c r="G35" s="370" t="e">
        <f>Terrap.!#REF!</f>
        <v>#REF!</v>
      </c>
      <c r="H35" s="371" t="e">
        <f>'MF e Sarj.'!#REF!*D35</f>
        <v>#REF!</v>
      </c>
      <c r="I35" s="371" t="e">
        <f t="shared" si="3"/>
        <v>#REF!</v>
      </c>
      <c r="J35" s="678" t="e">
        <f t="shared" si="4"/>
        <v>#REF!</v>
      </c>
      <c r="K35" s="371">
        <f t="shared" si="7"/>
        <v>7.0000000000000007E-2</v>
      </c>
      <c r="L35" s="750" t="e">
        <f t="shared" si="5"/>
        <v>#REF!</v>
      </c>
    </row>
    <row r="36" spans="1:15" s="563" customFormat="1" ht="15" x14ac:dyDescent="0.2">
      <c r="A36" s="664" t="e">
        <f>Terrap.!#REF!</f>
        <v>#REF!</v>
      </c>
      <c r="B36" s="659" t="e">
        <f>Terrap.!#REF!</f>
        <v>#REF!</v>
      </c>
      <c r="C36" s="666" t="e">
        <f>'MF e Sarj.'!#REF!+'MF e Sarj.'!#REF!</f>
        <v>#REF!</v>
      </c>
      <c r="D36" s="666">
        <f t="shared" si="6"/>
        <v>1.5</v>
      </c>
      <c r="E36" s="666" t="e">
        <f t="shared" si="2"/>
        <v>#REF!</v>
      </c>
      <c r="F36" s="927" t="e">
        <f>Terrap.!#REF!</f>
        <v>#REF!</v>
      </c>
      <c r="G36" s="370" t="e">
        <f>Terrap.!#REF!</f>
        <v>#REF!</v>
      </c>
      <c r="H36" s="371" t="e">
        <f>'MF e Sarj.'!#REF!*D36</f>
        <v>#REF!</v>
      </c>
      <c r="I36" s="371" t="e">
        <f t="shared" si="3"/>
        <v>#REF!</v>
      </c>
      <c r="J36" s="678" t="e">
        <f t="shared" si="4"/>
        <v>#REF!</v>
      </c>
      <c r="K36" s="371">
        <f t="shared" si="7"/>
        <v>7.0000000000000007E-2</v>
      </c>
      <c r="L36" s="750" t="e">
        <f t="shared" si="5"/>
        <v>#REF!</v>
      </c>
    </row>
    <row r="37" spans="1:15" s="563" customFormat="1" ht="15" x14ac:dyDescent="0.2">
      <c r="A37" s="664" t="e">
        <f>Terrap.!#REF!</f>
        <v>#REF!</v>
      </c>
      <c r="B37" s="659" t="e">
        <f>Terrap.!#REF!</f>
        <v>#REF!</v>
      </c>
      <c r="C37" s="666" t="e">
        <f>'MF e Sarj.'!#REF!+'MF e Sarj.'!#REF!</f>
        <v>#REF!</v>
      </c>
      <c r="D37" s="666">
        <f t="shared" si="6"/>
        <v>1.5</v>
      </c>
      <c r="E37" s="666" t="e">
        <f t="shared" si="2"/>
        <v>#REF!</v>
      </c>
      <c r="F37" s="927" t="e">
        <f>Terrap.!#REF!</f>
        <v>#REF!</v>
      </c>
      <c r="G37" s="370" t="e">
        <f>Terrap.!#REF!</f>
        <v>#REF!</v>
      </c>
      <c r="H37" s="371" t="e">
        <f>'MF e Sarj.'!#REF!*D37</f>
        <v>#REF!</v>
      </c>
      <c r="I37" s="371" t="e">
        <f t="shared" si="3"/>
        <v>#REF!</v>
      </c>
      <c r="J37" s="678" t="e">
        <f t="shared" si="4"/>
        <v>#REF!</v>
      </c>
      <c r="K37" s="371">
        <f t="shared" si="7"/>
        <v>7.0000000000000007E-2</v>
      </c>
      <c r="L37" s="750" t="e">
        <f t="shared" si="5"/>
        <v>#REF!</v>
      </c>
    </row>
    <row r="38" spans="1:15" s="563" customFormat="1" ht="15" x14ac:dyDescent="0.2">
      <c r="A38" s="664" t="e">
        <f>Terrap.!#REF!</f>
        <v>#REF!</v>
      </c>
      <c r="B38" s="659" t="e">
        <f>Terrap.!#REF!</f>
        <v>#REF!</v>
      </c>
      <c r="C38" s="666" t="e">
        <f>'MF e Sarj.'!#REF!+'MF e Sarj.'!#REF!</f>
        <v>#REF!</v>
      </c>
      <c r="D38" s="666">
        <f t="shared" si="6"/>
        <v>1.5</v>
      </c>
      <c r="E38" s="666" t="e">
        <f t="shared" si="2"/>
        <v>#REF!</v>
      </c>
      <c r="F38" s="927" t="e">
        <f>Terrap.!#REF!</f>
        <v>#REF!</v>
      </c>
      <c r="G38" s="370" t="e">
        <f>Terrap.!#REF!</f>
        <v>#REF!</v>
      </c>
      <c r="H38" s="371" t="e">
        <f>'MF e Sarj.'!#REF!*D38</f>
        <v>#REF!</v>
      </c>
      <c r="I38" s="371" t="e">
        <f t="shared" si="3"/>
        <v>#REF!</v>
      </c>
      <c r="J38" s="678" t="e">
        <f t="shared" si="4"/>
        <v>#REF!</v>
      </c>
      <c r="K38" s="371">
        <f t="shared" si="7"/>
        <v>7.0000000000000007E-2</v>
      </c>
      <c r="L38" s="750" t="e">
        <f t="shared" si="5"/>
        <v>#REF!</v>
      </c>
    </row>
    <row r="39" spans="1:15" s="563" customFormat="1" ht="15" x14ac:dyDescent="0.2">
      <c r="A39" s="664" t="e">
        <f>Terrap.!#REF!</f>
        <v>#REF!</v>
      </c>
      <c r="B39" s="659" t="e">
        <f>Terrap.!#REF!</f>
        <v>#REF!</v>
      </c>
      <c r="C39" s="666" t="e">
        <f>'MF e Sarj.'!#REF!+'MF e Sarj.'!#REF!</f>
        <v>#REF!</v>
      </c>
      <c r="D39" s="666">
        <f t="shared" si="6"/>
        <v>1.5</v>
      </c>
      <c r="E39" s="666" t="e">
        <f t="shared" si="2"/>
        <v>#REF!</v>
      </c>
      <c r="F39" s="927" t="e">
        <f>Terrap.!#REF!</f>
        <v>#REF!</v>
      </c>
      <c r="G39" s="370" t="e">
        <f>Terrap.!#REF!</f>
        <v>#REF!</v>
      </c>
      <c r="H39" s="371" t="e">
        <f>'MF e Sarj.'!#REF!*D39</f>
        <v>#REF!</v>
      </c>
      <c r="I39" s="371" t="e">
        <f t="shared" si="3"/>
        <v>#REF!</v>
      </c>
      <c r="J39" s="678" t="e">
        <f t="shared" si="4"/>
        <v>#REF!</v>
      </c>
      <c r="K39" s="371">
        <f t="shared" si="7"/>
        <v>7.0000000000000007E-2</v>
      </c>
      <c r="L39" s="750" t="e">
        <f t="shared" si="5"/>
        <v>#REF!</v>
      </c>
    </row>
    <row r="40" spans="1:15" s="563" customFormat="1" ht="15" x14ac:dyDescent="0.2">
      <c r="A40" s="664" t="e">
        <f>Terrap.!#REF!</f>
        <v>#REF!</v>
      </c>
      <c r="B40" s="659" t="e">
        <f>Terrap.!#REF!</f>
        <v>#REF!</v>
      </c>
      <c r="C40" s="666" t="e">
        <f>'MF e Sarj.'!#REF!+'MF e Sarj.'!#REF!</f>
        <v>#REF!</v>
      </c>
      <c r="D40" s="666">
        <f t="shared" si="6"/>
        <v>1.5</v>
      </c>
      <c r="E40" s="666" t="e">
        <f t="shared" si="2"/>
        <v>#REF!</v>
      </c>
      <c r="F40" s="927" t="e">
        <f>Terrap.!#REF!</f>
        <v>#REF!</v>
      </c>
      <c r="G40" s="370" t="e">
        <f>Terrap.!#REF!</f>
        <v>#REF!</v>
      </c>
      <c r="H40" s="371" t="e">
        <f>'MF e Sarj.'!#REF!*D40</f>
        <v>#REF!</v>
      </c>
      <c r="I40" s="371" t="e">
        <f t="shared" si="3"/>
        <v>#REF!</v>
      </c>
      <c r="J40" s="678" t="e">
        <f t="shared" si="4"/>
        <v>#REF!</v>
      </c>
      <c r="K40" s="371">
        <f t="shared" si="7"/>
        <v>7.0000000000000007E-2</v>
      </c>
      <c r="L40" s="750" t="e">
        <f t="shared" si="5"/>
        <v>#REF!</v>
      </c>
    </row>
    <row r="41" spans="1:15" s="563" customFormat="1" ht="15" x14ac:dyDescent="0.2">
      <c r="A41" s="664" t="e">
        <f>Terrap.!#REF!</f>
        <v>#REF!</v>
      </c>
      <c r="B41" s="659" t="e">
        <f>Terrap.!#REF!</f>
        <v>#REF!</v>
      </c>
      <c r="C41" s="666" t="e">
        <f>'MF e Sarj.'!#REF!+'MF e Sarj.'!#REF!</f>
        <v>#REF!</v>
      </c>
      <c r="D41" s="666">
        <f t="shared" si="6"/>
        <v>1.5</v>
      </c>
      <c r="E41" s="666" t="e">
        <f t="shared" si="2"/>
        <v>#REF!</v>
      </c>
      <c r="F41" s="927" t="e">
        <f>Terrap.!#REF!</f>
        <v>#REF!</v>
      </c>
      <c r="G41" s="370" t="e">
        <f>Terrap.!#REF!</f>
        <v>#REF!</v>
      </c>
      <c r="H41" s="371" t="e">
        <f>'MF e Sarj.'!#REF!*D41</f>
        <v>#REF!</v>
      </c>
      <c r="I41" s="371" t="e">
        <f t="shared" si="3"/>
        <v>#REF!</v>
      </c>
      <c r="J41" s="678" t="e">
        <f t="shared" si="4"/>
        <v>#REF!</v>
      </c>
      <c r="K41" s="371">
        <f t="shared" si="7"/>
        <v>7.0000000000000007E-2</v>
      </c>
      <c r="L41" s="750" t="e">
        <f t="shared" si="5"/>
        <v>#REF!</v>
      </c>
    </row>
    <row r="42" spans="1:15" s="563" customFormat="1" ht="15" x14ac:dyDescent="0.2">
      <c r="A42" s="664" t="e">
        <f>Terrap.!#REF!</f>
        <v>#REF!</v>
      </c>
      <c r="B42" s="659" t="e">
        <f>Terrap.!#REF!</f>
        <v>#REF!</v>
      </c>
      <c r="C42" s="666" t="e">
        <f>'MF e Sarj.'!#REF!+'MF e Sarj.'!#REF!</f>
        <v>#REF!</v>
      </c>
      <c r="D42" s="666">
        <f t="shared" si="6"/>
        <v>1.5</v>
      </c>
      <c r="E42" s="666" t="e">
        <f t="shared" si="2"/>
        <v>#REF!</v>
      </c>
      <c r="F42" s="927" t="e">
        <f>Terrap.!#REF!</f>
        <v>#REF!</v>
      </c>
      <c r="G42" s="370" t="e">
        <f>Terrap.!#REF!</f>
        <v>#REF!</v>
      </c>
      <c r="H42" s="371" t="e">
        <f>'MF e Sarj.'!#REF!*D42</f>
        <v>#REF!</v>
      </c>
      <c r="I42" s="371" t="e">
        <f t="shared" si="3"/>
        <v>#REF!</v>
      </c>
      <c r="J42" s="678" t="e">
        <f t="shared" si="4"/>
        <v>#REF!</v>
      </c>
      <c r="K42" s="371">
        <f t="shared" si="7"/>
        <v>7.0000000000000007E-2</v>
      </c>
      <c r="L42" s="750" t="e">
        <f t="shared" si="5"/>
        <v>#REF!</v>
      </c>
    </row>
    <row r="43" spans="1:15" s="563" customFormat="1" ht="15" x14ac:dyDescent="0.2">
      <c r="A43" s="664" t="e">
        <f>Terrap.!#REF!</f>
        <v>#REF!</v>
      </c>
      <c r="B43" s="659" t="e">
        <f>Terrap.!#REF!</f>
        <v>#REF!</v>
      </c>
      <c r="C43" s="666" t="e">
        <f>'MF e Sarj.'!#REF!+'MF e Sarj.'!#REF!</f>
        <v>#REF!</v>
      </c>
      <c r="D43" s="666">
        <f t="shared" si="6"/>
        <v>1.5</v>
      </c>
      <c r="E43" s="666" t="e">
        <f t="shared" si="2"/>
        <v>#REF!</v>
      </c>
      <c r="F43" s="927" t="e">
        <f>Terrap.!#REF!</f>
        <v>#REF!</v>
      </c>
      <c r="G43" s="370" t="e">
        <f>Terrap.!#REF!</f>
        <v>#REF!</v>
      </c>
      <c r="H43" s="371" t="e">
        <f>'MF e Sarj.'!#REF!*D43</f>
        <v>#REF!</v>
      </c>
      <c r="I43" s="371" t="e">
        <f t="shared" si="3"/>
        <v>#REF!</v>
      </c>
      <c r="J43" s="678" t="e">
        <f t="shared" si="4"/>
        <v>#REF!</v>
      </c>
      <c r="K43" s="371">
        <f t="shared" si="7"/>
        <v>7.0000000000000007E-2</v>
      </c>
      <c r="L43" s="750" t="e">
        <f t="shared" si="5"/>
        <v>#REF!</v>
      </c>
    </row>
    <row r="44" spans="1:15" s="563" customFormat="1" ht="15" x14ac:dyDescent="0.2">
      <c r="A44" s="664" t="e">
        <f>Terrap.!#REF!</f>
        <v>#REF!</v>
      </c>
      <c r="B44" s="659" t="e">
        <f>Terrap.!#REF!</f>
        <v>#REF!</v>
      </c>
      <c r="C44" s="666" t="e">
        <f>'MF e Sarj.'!#REF!+'MF e Sarj.'!#REF!</f>
        <v>#REF!</v>
      </c>
      <c r="D44" s="666">
        <f t="shared" si="6"/>
        <v>1.5</v>
      </c>
      <c r="E44" s="666" t="e">
        <f t="shared" si="2"/>
        <v>#REF!</v>
      </c>
      <c r="F44" s="927" t="e">
        <f>Terrap.!#REF!</f>
        <v>#REF!</v>
      </c>
      <c r="G44" s="370" t="e">
        <f>Terrap.!#REF!</f>
        <v>#REF!</v>
      </c>
      <c r="H44" s="371" t="e">
        <f>'MF e Sarj.'!#REF!*D44</f>
        <v>#REF!</v>
      </c>
      <c r="I44" s="371" t="e">
        <f t="shared" si="3"/>
        <v>#REF!</v>
      </c>
      <c r="J44" s="678" t="e">
        <f t="shared" si="4"/>
        <v>#REF!</v>
      </c>
      <c r="K44" s="371">
        <f t="shared" si="7"/>
        <v>7.0000000000000007E-2</v>
      </c>
      <c r="L44" s="750" t="e">
        <f t="shared" si="5"/>
        <v>#REF!</v>
      </c>
    </row>
    <row r="45" spans="1:15" s="563" customFormat="1" ht="15" x14ac:dyDescent="0.2">
      <c r="A45" s="664" t="e">
        <f>Terrap.!#REF!</f>
        <v>#REF!</v>
      </c>
      <c r="B45" s="659" t="e">
        <f>Terrap.!#REF!</f>
        <v>#REF!</v>
      </c>
      <c r="C45" s="666" t="e">
        <f>'MF e Sarj.'!#REF!+'MF e Sarj.'!#REF!</f>
        <v>#REF!</v>
      </c>
      <c r="D45" s="666">
        <f t="shared" si="6"/>
        <v>1.5</v>
      </c>
      <c r="E45" s="666" t="e">
        <f t="shared" si="2"/>
        <v>#REF!</v>
      </c>
      <c r="F45" s="927" t="e">
        <f>Terrap.!#REF!</f>
        <v>#REF!</v>
      </c>
      <c r="G45" s="370" t="e">
        <f>Terrap.!#REF!</f>
        <v>#REF!</v>
      </c>
      <c r="H45" s="371" t="e">
        <f>'MF e Sarj.'!#REF!*D45</f>
        <v>#REF!</v>
      </c>
      <c r="I45" s="371" t="e">
        <f t="shared" si="3"/>
        <v>#REF!</v>
      </c>
      <c r="J45" s="678" t="e">
        <f t="shared" si="4"/>
        <v>#REF!</v>
      </c>
      <c r="K45" s="371">
        <f t="shared" si="7"/>
        <v>7.0000000000000007E-2</v>
      </c>
      <c r="L45" s="750" t="e">
        <f t="shared" si="5"/>
        <v>#REF!</v>
      </c>
    </row>
    <row r="46" spans="1:15" s="563" customFormat="1" ht="15" x14ac:dyDescent="0.2">
      <c r="A46" s="664"/>
      <c r="B46" s="659"/>
      <c r="C46" s="666"/>
      <c r="D46" s="666"/>
      <c r="E46" s="666"/>
      <c r="F46" s="921"/>
      <c r="G46" s="370"/>
      <c r="H46" s="371"/>
      <c r="I46" s="371"/>
      <c r="J46" s="678"/>
      <c r="K46" s="371">
        <f t="shared" ref="K46" si="8">$K$11</f>
        <v>7.0000000000000007E-2</v>
      </c>
      <c r="L46" s="750"/>
    </row>
    <row r="47" spans="1:15" s="563" customFormat="1" ht="15" x14ac:dyDescent="0.2">
      <c r="A47" s="664"/>
      <c r="B47" s="659"/>
      <c r="C47" s="666"/>
      <c r="D47" s="666"/>
      <c r="E47" s="666"/>
      <c r="F47" s="671"/>
      <c r="G47" s="370"/>
      <c r="H47" s="371"/>
      <c r="I47" s="371"/>
      <c r="J47" s="678"/>
      <c r="K47" s="371"/>
      <c r="L47" s="751"/>
    </row>
    <row r="48" spans="1:15" s="563" customFormat="1" ht="15" x14ac:dyDescent="0.2">
      <c r="A48" s="1205" t="s">
        <v>391</v>
      </c>
      <c r="B48" s="1246"/>
      <c r="C48" s="372" t="e">
        <f>SUM(C11:C47)</f>
        <v>#REF!</v>
      </c>
      <c r="D48" s="372"/>
      <c r="E48" s="372" t="e">
        <f>SUM(E11:E47)</f>
        <v>#REF!</v>
      </c>
      <c r="F48" s="671"/>
      <c r="G48" s="370"/>
      <c r="H48" s="374"/>
      <c r="I48" s="372" t="e">
        <f>SUM(I11:I47)</f>
        <v>#REF!</v>
      </c>
      <c r="J48" s="372" t="e">
        <f>SUM(J11:J47)</f>
        <v>#REF!</v>
      </c>
      <c r="K48" s="372"/>
      <c r="L48" s="372" t="e">
        <f>SUM(L11:L47)</f>
        <v>#REF!</v>
      </c>
      <c r="O48" s="564"/>
    </row>
    <row r="49" spans="1:12" s="563" customFormat="1" ht="15" thickBot="1" x14ac:dyDescent="0.25">
      <c r="A49" s="1197" t="s">
        <v>390</v>
      </c>
      <c r="B49" s="1198"/>
      <c r="C49" s="1199" t="e">
        <f>L48</f>
        <v>#REF!</v>
      </c>
      <c r="D49" s="1199"/>
      <c r="E49" s="1199"/>
      <c r="F49" s="1199"/>
      <c r="G49" s="1199"/>
      <c r="H49" s="1199"/>
      <c r="I49" s="1199"/>
      <c r="J49" s="1199"/>
      <c r="K49" s="1199"/>
      <c r="L49" s="1200"/>
    </row>
    <row r="50" spans="1:12" x14ac:dyDescent="0.2">
      <c r="A50" s="563"/>
      <c r="B50" s="563"/>
      <c r="C50" s="563"/>
      <c r="D50" s="563"/>
      <c r="E50" s="563"/>
      <c r="F50" s="563"/>
      <c r="G50" s="563"/>
      <c r="H50" s="563"/>
      <c r="I50" s="563"/>
      <c r="J50" s="563"/>
      <c r="K50" s="563"/>
      <c r="L50" s="563"/>
    </row>
    <row r="51" spans="1:12" x14ac:dyDescent="0.2">
      <c r="A51" s="563"/>
      <c r="B51" s="563"/>
      <c r="C51" s="563"/>
      <c r="D51" s="563"/>
      <c r="E51" s="563"/>
      <c r="F51" s="563"/>
      <c r="G51" s="563"/>
      <c r="H51" s="563"/>
      <c r="I51" s="563"/>
      <c r="J51" s="563"/>
      <c r="K51" s="563"/>
      <c r="L51" s="563"/>
    </row>
    <row r="53" spans="1:12" ht="15.75" x14ac:dyDescent="0.2">
      <c r="B53" s="902" t="str">
        <f>Terrap.!B26</f>
        <v>Robson Darcio Sousa</v>
      </c>
    </row>
    <row r="54" spans="1:12" x14ac:dyDescent="0.2">
      <c r="B54" s="829" t="str">
        <f>Terrap.!B27</f>
        <v>ENGº CIVIL</v>
      </c>
    </row>
    <row r="55" spans="1:12" x14ac:dyDescent="0.2">
      <c r="B55" s="829" t="str">
        <f>Terrap.!B28</f>
        <v>Crea: 120.263.916-0</v>
      </c>
    </row>
  </sheetData>
  <mergeCells count="23">
    <mergeCell ref="B3:L3"/>
    <mergeCell ref="B4:H4"/>
    <mergeCell ref="I4:L6"/>
    <mergeCell ref="B5:D5"/>
    <mergeCell ref="F5:H5"/>
    <mergeCell ref="B6:D6"/>
    <mergeCell ref="F6:G6"/>
    <mergeCell ref="A1:L1"/>
    <mergeCell ref="A2:L2"/>
    <mergeCell ref="A48:B48"/>
    <mergeCell ref="A49:B49"/>
    <mergeCell ref="C49:L49"/>
    <mergeCell ref="A7:L7"/>
    <mergeCell ref="A8:A9"/>
    <mergeCell ref="B8:B9"/>
    <mergeCell ref="C8:C9"/>
    <mergeCell ref="D8:D9"/>
    <mergeCell ref="E8:E9"/>
    <mergeCell ref="F8:I8"/>
    <mergeCell ref="L8:L9"/>
    <mergeCell ref="J8:J9"/>
    <mergeCell ref="K8:K9"/>
    <mergeCell ref="A10:L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5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A1:N57"/>
  <sheetViews>
    <sheetView view="pageBreakPreview" topLeftCell="A31" zoomScaleSheetLayoutView="100" workbookViewId="0">
      <selection activeCell="F14" sqref="F14"/>
    </sheetView>
  </sheetViews>
  <sheetFormatPr defaultColWidth="9.140625" defaultRowHeight="12.75" x14ac:dyDescent="0.2"/>
  <cols>
    <col min="1" max="1" width="11.7109375" style="108" customWidth="1"/>
    <col min="2" max="2" width="10.42578125" style="108" customWidth="1"/>
    <col min="3" max="3" width="53" style="108" bestFit="1" customWidth="1"/>
    <col min="4" max="4" width="11" style="108" customWidth="1"/>
    <col min="5" max="5" width="9.140625" style="108"/>
    <col min="6" max="6" width="10.140625" style="108" bestFit="1" customWidth="1"/>
    <col min="7" max="7" width="7.28515625" style="108" customWidth="1"/>
    <col min="8" max="8" width="8.140625" style="108" customWidth="1"/>
    <col min="9" max="9" width="8" style="108" customWidth="1"/>
    <col min="10" max="10" width="8.28515625" style="108" customWidth="1"/>
    <col min="11" max="11" width="8.7109375" style="108" customWidth="1"/>
    <col min="12" max="12" width="10.42578125" style="108" customWidth="1"/>
    <col min="13" max="13" width="8" style="108" customWidth="1"/>
    <col min="14" max="14" width="9.28515625" style="108" customWidth="1"/>
    <col min="15" max="16384" width="9.140625" style="108"/>
  </cols>
  <sheetData>
    <row r="1" spans="1:14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3"/>
    </row>
    <row r="2" spans="1:14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6"/>
    </row>
    <row r="3" spans="1:14" ht="15" customHeight="1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134" t="str">
        <f>Terrap.!I3</f>
        <v>SINAPI - JULHO / 2020    DESONERADO                                                                                                                           SICRO 10/2019</v>
      </c>
      <c r="J3" s="1135"/>
      <c r="K3" s="1135"/>
      <c r="L3" s="1135"/>
      <c r="M3" s="1135"/>
      <c r="N3" s="1136"/>
    </row>
    <row r="4" spans="1:14" ht="15" customHeight="1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137"/>
      <c r="J4" s="1138"/>
      <c r="K4" s="1138"/>
      <c r="L4" s="1138"/>
      <c r="M4" s="1138"/>
      <c r="N4" s="1139"/>
    </row>
    <row r="5" spans="1:14" ht="15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387" t="s">
        <v>362</v>
      </c>
      <c r="F5" s="1055" t="str">
        <f>Terrap.!F5</f>
        <v>AGOSTO 2020</v>
      </c>
      <c r="G5" s="1055"/>
      <c r="H5" s="1055"/>
      <c r="I5" s="1137"/>
      <c r="J5" s="1138"/>
      <c r="K5" s="1138"/>
      <c r="L5" s="1138"/>
      <c r="M5" s="1138"/>
      <c r="N5" s="1139"/>
    </row>
    <row r="6" spans="1:14" ht="15.75" thickBot="1" x14ac:dyDescent="0.25">
      <c r="A6" s="388" t="s">
        <v>59</v>
      </c>
      <c r="B6" s="1056">
        <f>Pavim.!B6</f>
        <v>31131.72</v>
      </c>
      <c r="C6" s="1056"/>
      <c r="D6" s="1056"/>
      <c r="E6" s="389" t="s">
        <v>60</v>
      </c>
      <c r="F6" s="1143">
        <f>Terrap.!F6</f>
        <v>0.25640000000000002</v>
      </c>
      <c r="G6" s="1143"/>
      <c r="H6" s="389" t="s">
        <v>61</v>
      </c>
      <c r="I6" s="1140"/>
      <c r="J6" s="1141"/>
      <c r="K6" s="1141"/>
      <c r="L6" s="1141"/>
      <c r="M6" s="1141"/>
      <c r="N6" s="1142"/>
    </row>
    <row r="7" spans="1:14" ht="13.5" thickBot="1" x14ac:dyDescent="0.25">
      <c r="A7" s="1255"/>
      <c r="B7" s="1255"/>
      <c r="C7" s="1255"/>
      <c r="D7" s="1255"/>
      <c r="E7" s="1255"/>
      <c r="F7" s="1255"/>
      <c r="G7" s="1255"/>
      <c r="H7" s="1255"/>
      <c r="I7" s="1255"/>
      <c r="J7" s="1255"/>
      <c r="K7" s="1255"/>
      <c r="L7" s="293"/>
      <c r="M7" s="293"/>
    </row>
    <row r="8" spans="1:14" ht="16.5" thickBot="1" x14ac:dyDescent="0.25">
      <c r="B8" s="1259" t="s">
        <v>354</v>
      </c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1"/>
    </row>
    <row r="9" spans="1:14" ht="14.25" x14ac:dyDescent="0.2">
      <c r="B9" s="1256" t="s">
        <v>62</v>
      </c>
      <c r="C9" s="1257" t="s">
        <v>63</v>
      </c>
      <c r="D9" s="1256" t="s">
        <v>393</v>
      </c>
      <c r="E9" s="1258"/>
      <c r="F9" s="1257"/>
      <c r="G9" s="1256" t="s">
        <v>356</v>
      </c>
      <c r="H9" s="1258"/>
      <c r="I9" s="1258"/>
      <c r="J9" s="1258"/>
      <c r="K9" s="1257"/>
      <c r="L9" s="1193" t="s">
        <v>403</v>
      </c>
      <c r="M9" s="1195" t="s">
        <v>401</v>
      </c>
      <c r="N9" s="1201" t="s">
        <v>402</v>
      </c>
    </row>
    <row r="10" spans="1:14" ht="57" x14ac:dyDescent="0.2">
      <c r="B10" s="1203"/>
      <c r="C10" s="1245"/>
      <c r="D10" s="680" t="s">
        <v>395</v>
      </c>
      <c r="E10" s="459" t="s">
        <v>394</v>
      </c>
      <c r="F10" s="669" t="s">
        <v>396</v>
      </c>
      <c r="G10" s="680" t="s">
        <v>397</v>
      </c>
      <c r="H10" s="459" t="s">
        <v>398</v>
      </c>
      <c r="I10" s="459" t="s">
        <v>400</v>
      </c>
      <c r="J10" s="459" t="s">
        <v>399</v>
      </c>
      <c r="K10" s="669" t="s">
        <v>355</v>
      </c>
      <c r="L10" s="1194"/>
      <c r="M10" s="1196"/>
      <c r="N10" s="1202"/>
    </row>
    <row r="11" spans="1:14" ht="14.25" x14ac:dyDescent="0.2">
      <c r="B11" s="1205" t="str">
        <f>CALÇADA!A10</f>
        <v>TRECHO 03</v>
      </c>
      <c r="C11" s="1206"/>
      <c r="D11" s="1206"/>
      <c r="E11" s="1206"/>
      <c r="F11" s="1206"/>
      <c r="G11" s="1206"/>
      <c r="H11" s="1206"/>
      <c r="I11" s="1206"/>
      <c r="J11" s="1206"/>
      <c r="K11" s="1206"/>
      <c r="L11" s="1206"/>
      <c r="M11" s="1206"/>
      <c r="N11" s="1207"/>
    </row>
    <row r="12" spans="1:14" ht="15" x14ac:dyDescent="0.2">
      <c r="B12" s="375">
        <f>CALÇADA!A11</f>
        <v>1</v>
      </c>
      <c r="C12" s="686" t="str">
        <f>CALÇADA!B11</f>
        <v>RUAS DAS MARGARIDAS</v>
      </c>
      <c r="D12" s="682">
        <f>CALÇADA!C11</f>
        <v>1162.72</v>
      </c>
      <c r="E12" s="370"/>
      <c r="F12" s="683"/>
      <c r="G12" s="664"/>
      <c r="H12" s="370"/>
      <c r="I12" s="370">
        <f>H12*G12</f>
        <v>0</v>
      </c>
      <c r="J12" s="370">
        <v>37</v>
      </c>
      <c r="K12" s="376">
        <f>J12*I12</f>
        <v>0</v>
      </c>
      <c r="L12" s="685">
        <f>ROUND(K12+F12,0)</f>
        <v>0</v>
      </c>
      <c r="M12" s="749">
        <f>0.25*0.25</f>
        <v>6.3E-2</v>
      </c>
      <c r="N12" s="376">
        <f>TRUNC(M12*L12,2)</f>
        <v>0</v>
      </c>
    </row>
    <row r="13" spans="1:14" ht="15" x14ac:dyDescent="0.2">
      <c r="B13" s="375">
        <f>CALÇADA!A12</f>
        <v>2</v>
      </c>
      <c r="C13" s="686" t="str">
        <f>CALÇADA!B12</f>
        <v>RUA DOS GIRASSÓIS</v>
      </c>
      <c r="D13" s="682">
        <f>CALÇADA!C12</f>
        <v>1162.72</v>
      </c>
      <c r="E13" s="370"/>
      <c r="F13" s="683"/>
      <c r="G13" s="664"/>
      <c r="H13" s="370"/>
      <c r="I13" s="370">
        <f t="shared" ref="I13:I46" si="0">H13*G13</f>
        <v>0</v>
      </c>
      <c r="J13" s="370">
        <f>$J$12</f>
        <v>37</v>
      </c>
      <c r="K13" s="376">
        <f t="shared" ref="K13:K46" si="1">J13*I13</f>
        <v>0</v>
      </c>
      <c r="L13" s="685">
        <f t="shared" ref="L13:L46" si="2">ROUND(K13+F13,0)</f>
        <v>0</v>
      </c>
      <c r="M13" s="749">
        <f t="shared" ref="M13:M46" si="3">0.25*0.25</f>
        <v>6.3E-2</v>
      </c>
      <c r="N13" s="376">
        <f t="shared" ref="N13:N46" si="4">TRUNC(M13*L13,2)</f>
        <v>0</v>
      </c>
    </row>
    <row r="14" spans="1:14" ht="15" x14ac:dyDescent="0.2">
      <c r="B14" s="375">
        <f>CALÇADA!A13</f>
        <v>3</v>
      </c>
      <c r="C14" s="686" t="str">
        <f>CALÇADA!B13</f>
        <v>RUAS DAS CEREJEIRAS</v>
      </c>
      <c r="D14" s="682">
        <f>CALÇADA!C13</f>
        <v>1142.78</v>
      </c>
      <c r="E14" s="370"/>
      <c r="F14" s="683"/>
      <c r="G14" s="664"/>
      <c r="H14" s="370"/>
      <c r="I14" s="370">
        <f t="shared" si="0"/>
        <v>0</v>
      </c>
      <c r="J14" s="370">
        <f t="shared" ref="J14:J22" si="5">$J$12</f>
        <v>37</v>
      </c>
      <c r="K14" s="376">
        <f t="shared" si="1"/>
        <v>0</v>
      </c>
      <c r="L14" s="685">
        <f t="shared" si="2"/>
        <v>0</v>
      </c>
      <c r="M14" s="749">
        <f t="shared" si="3"/>
        <v>6.3E-2</v>
      </c>
      <c r="N14" s="376">
        <f t="shared" si="4"/>
        <v>0</v>
      </c>
    </row>
    <row r="15" spans="1:14" ht="15" x14ac:dyDescent="0.2">
      <c r="B15" s="375">
        <f>CALÇADA!A14</f>
        <v>4</v>
      </c>
      <c r="C15" s="686" t="str">
        <f>CALÇADA!B14</f>
        <v>RUA DAS JARACATIÁS</v>
      </c>
      <c r="D15" s="682">
        <f>CALÇADA!C14</f>
        <v>1267.28</v>
      </c>
      <c r="E15" s="370"/>
      <c r="F15" s="683"/>
      <c r="G15" s="664"/>
      <c r="H15" s="370"/>
      <c r="I15" s="370">
        <f t="shared" si="0"/>
        <v>0</v>
      </c>
      <c r="J15" s="370">
        <f t="shared" si="5"/>
        <v>37</v>
      </c>
      <c r="K15" s="376">
        <f t="shared" si="1"/>
        <v>0</v>
      </c>
      <c r="L15" s="685">
        <f t="shared" si="2"/>
        <v>0</v>
      </c>
      <c r="M15" s="749">
        <f t="shared" si="3"/>
        <v>6.3E-2</v>
      </c>
      <c r="N15" s="376">
        <f t="shared" si="4"/>
        <v>0</v>
      </c>
    </row>
    <row r="16" spans="1:14" ht="15" x14ac:dyDescent="0.2">
      <c r="B16" s="375">
        <f>CALÇADA!A15</f>
        <v>5</v>
      </c>
      <c r="C16" s="686" t="str">
        <f>CALÇADA!B15</f>
        <v>AV CONSTITUINTE</v>
      </c>
      <c r="D16" s="682">
        <f>CALÇADA!C15</f>
        <v>374.08</v>
      </c>
      <c r="E16" s="370"/>
      <c r="F16" s="683"/>
      <c r="G16" s="664"/>
      <c r="H16" s="370"/>
      <c r="I16" s="370">
        <f t="shared" si="0"/>
        <v>0</v>
      </c>
      <c r="J16" s="370">
        <f t="shared" si="5"/>
        <v>37</v>
      </c>
      <c r="K16" s="376">
        <f t="shared" si="1"/>
        <v>0</v>
      </c>
      <c r="L16" s="685">
        <f t="shared" si="2"/>
        <v>0</v>
      </c>
      <c r="M16" s="749">
        <f t="shared" si="3"/>
        <v>6.3E-2</v>
      </c>
      <c r="N16" s="376">
        <f t="shared" si="4"/>
        <v>0</v>
      </c>
    </row>
    <row r="17" spans="2:14" ht="15" x14ac:dyDescent="0.2">
      <c r="B17" s="375">
        <f>CALÇADA!A16</f>
        <v>6</v>
      </c>
      <c r="C17" s="686" t="str">
        <f>CALÇADA!B16</f>
        <v>RUA FLAMBOYANT</v>
      </c>
      <c r="D17" s="682">
        <f>CALÇADA!C16</f>
        <v>440.24</v>
      </c>
      <c r="E17" s="370"/>
      <c r="F17" s="683"/>
      <c r="G17" s="664"/>
      <c r="H17" s="370"/>
      <c r="I17" s="370">
        <f t="shared" si="0"/>
        <v>0</v>
      </c>
      <c r="J17" s="370">
        <f t="shared" si="5"/>
        <v>37</v>
      </c>
      <c r="K17" s="376">
        <f t="shared" si="1"/>
        <v>0</v>
      </c>
      <c r="L17" s="685">
        <f t="shared" si="2"/>
        <v>0</v>
      </c>
      <c r="M17" s="749">
        <f t="shared" si="3"/>
        <v>6.3E-2</v>
      </c>
      <c r="N17" s="376">
        <f t="shared" si="4"/>
        <v>0</v>
      </c>
    </row>
    <row r="18" spans="2:14" ht="15" x14ac:dyDescent="0.2">
      <c r="B18" s="375">
        <f>CALÇADA!A17</f>
        <v>7</v>
      </c>
      <c r="C18" s="686" t="str">
        <f>CALÇADA!B17</f>
        <v>RUA CAMPOS ELISIOS</v>
      </c>
      <c r="D18" s="682">
        <f>CALÇADA!C17</f>
        <v>431.2</v>
      </c>
      <c r="E18" s="370"/>
      <c r="F18" s="683"/>
      <c r="G18" s="664"/>
      <c r="H18" s="370"/>
      <c r="I18" s="370">
        <f t="shared" si="0"/>
        <v>0</v>
      </c>
      <c r="J18" s="370">
        <f t="shared" si="5"/>
        <v>37</v>
      </c>
      <c r="K18" s="376">
        <f t="shared" si="1"/>
        <v>0</v>
      </c>
      <c r="L18" s="685">
        <f t="shared" si="2"/>
        <v>0</v>
      </c>
      <c r="M18" s="749">
        <f t="shared" si="3"/>
        <v>6.3E-2</v>
      </c>
      <c r="N18" s="376">
        <f t="shared" si="4"/>
        <v>0</v>
      </c>
    </row>
    <row r="19" spans="2:14" ht="15" x14ac:dyDescent="0.2">
      <c r="B19" s="375">
        <f>CALÇADA!A18</f>
        <v>8</v>
      </c>
      <c r="C19" s="686" t="str">
        <f>CALÇADA!B18</f>
        <v>RUA SAMAMBAIAS</v>
      </c>
      <c r="D19" s="682">
        <f>CALÇADA!C18</f>
        <v>439</v>
      </c>
      <c r="E19" s="370"/>
      <c r="F19" s="683"/>
      <c r="G19" s="664"/>
      <c r="H19" s="370"/>
      <c r="I19" s="370">
        <f t="shared" si="0"/>
        <v>0</v>
      </c>
      <c r="J19" s="370">
        <f t="shared" si="5"/>
        <v>37</v>
      </c>
      <c r="K19" s="376">
        <f t="shared" si="1"/>
        <v>0</v>
      </c>
      <c r="L19" s="685">
        <f t="shared" si="2"/>
        <v>0</v>
      </c>
      <c r="M19" s="749">
        <f t="shared" si="3"/>
        <v>6.3E-2</v>
      </c>
      <c r="N19" s="376">
        <f t="shared" si="4"/>
        <v>0</v>
      </c>
    </row>
    <row r="20" spans="2:14" ht="15" x14ac:dyDescent="0.2">
      <c r="B20" s="375" t="e">
        <f>CALÇADA!A19</f>
        <v>#REF!</v>
      </c>
      <c r="C20" s="686" t="e">
        <f>CALÇADA!B19</f>
        <v>#REF!</v>
      </c>
      <c r="D20" s="682" t="e">
        <f>CALÇADA!C19</f>
        <v>#REF!</v>
      </c>
      <c r="E20" s="370"/>
      <c r="F20" s="683"/>
      <c r="G20" s="664"/>
      <c r="H20" s="370"/>
      <c r="I20" s="370">
        <f t="shared" si="0"/>
        <v>0</v>
      </c>
      <c r="J20" s="370">
        <f t="shared" si="5"/>
        <v>37</v>
      </c>
      <c r="K20" s="376">
        <f t="shared" si="1"/>
        <v>0</v>
      </c>
      <c r="L20" s="685">
        <f t="shared" si="2"/>
        <v>0</v>
      </c>
      <c r="M20" s="749">
        <f t="shared" si="3"/>
        <v>6.3E-2</v>
      </c>
      <c r="N20" s="376">
        <f t="shared" si="4"/>
        <v>0</v>
      </c>
    </row>
    <row r="21" spans="2:14" ht="15" x14ac:dyDescent="0.2">
      <c r="B21" s="375" t="e">
        <f>CALÇADA!A20</f>
        <v>#REF!</v>
      </c>
      <c r="C21" s="686" t="e">
        <f>CALÇADA!B20</f>
        <v>#REF!</v>
      </c>
      <c r="D21" s="682" t="e">
        <f>CALÇADA!C20</f>
        <v>#REF!</v>
      </c>
      <c r="E21" s="370"/>
      <c r="F21" s="683"/>
      <c r="G21" s="664"/>
      <c r="H21" s="370"/>
      <c r="I21" s="370">
        <f t="shared" si="0"/>
        <v>0</v>
      </c>
      <c r="J21" s="370">
        <f t="shared" si="5"/>
        <v>37</v>
      </c>
      <c r="K21" s="376">
        <f t="shared" si="1"/>
        <v>0</v>
      </c>
      <c r="L21" s="685">
        <f t="shared" si="2"/>
        <v>0</v>
      </c>
      <c r="M21" s="749">
        <f t="shared" si="3"/>
        <v>6.3E-2</v>
      </c>
      <c r="N21" s="376">
        <f t="shared" si="4"/>
        <v>0</v>
      </c>
    </row>
    <row r="22" spans="2:14" ht="15" x14ac:dyDescent="0.2">
      <c r="B22" s="375" t="e">
        <f>CALÇADA!A21</f>
        <v>#REF!</v>
      </c>
      <c r="C22" s="686" t="e">
        <f>CALÇADA!B21</f>
        <v>#REF!</v>
      </c>
      <c r="D22" s="682" t="e">
        <f>CALÇADA!C21</f>
        <v>#REF!</v>
      </c>
      <c r="E22" s="370"/>
      <c r="F22" s="683"/>
      <c r="G22" s="664"/>
      <c r="H22" s="370"/>
      <c r="I22" s="370">
        <f t="shared" si="0"/>
        <v>0</v>
      </c>
      <c r="J22" s="370">
        <f t="shared" si="5"/>
        <v>37</v>
      </c>
      <c r="K22" s="376">
        <f t="shared" si="1"/>
        <v>0</v>
      </c>
      <c r="L22" s="685">
        <f t="shared" si="2"/>
        <v>0</v>
      </c>
      <c r="M22" s="749">
        <f t="shared" si="3"/>
        <v>6.3E-2</v>
      </c>
      <c r="N22" s="376">
        <f t="shared" si="4"/>
        <v>0</v>
      </c>
    </row>
    <row r="23" spans="2:14" ht="15" x14ac:dyDescent="0.2">
      <c r="B23" s="375" t="e">
        <f>CALÇADA!A22</f>
        <v>#REF!</v>
      </c>
      <c r="C23" s="686" t="e">
        <f>CALÇADA!B22</f>
        <v>#REF!</v>
      </c>
      <c r="D23" s="682" t="e">
        <f>CALÇADA!C22</f>
        <v>#REF!</v>
      </c>
      <c r="E23" s="370"/>
      <c r="F23" s="683"/>
      <c r="G23" s="664"/>
      <c r="H23" s="370"/>
      <c r="I23" s="370">
        <f t="shared" si="0"/>
        <v>0</v>
      </c>
      <c r="J23" s="370">
        <f t="shared" ref="J23:J32" si="6">$J$12</f>
        <v>37</v>
      </c>
      <c r="K23" s="376">
        <f t="shared" si="1"/>
        <v>0</v>
      </c>
      <c r="L23" s="685">
        <f t="shared" si="2"/>
        <v>0</v>
      </c>
      <c r="M23" s="749">
        <f t="shared" si="3"/>
        <v>6.3E-2</v>
      </c>
      <c r="N23" s="376">
        <f t="shared" si="4"/>
        <v>0</v>
      </c>
    </row>
    <row r="24" spans="2:14" ht="15" x14ac:dyDescent="0.2">
      <c r="B24" s="375" t="e">
        <f>CALÇADA!A23</f>
        <v>#REF!</v>
      </c>
      <c r="C24" s="686" t="e">
        <f>CALÇADA!B23</f>
        <v>#REF!</v>
      </c>
      <c r="D24" s="682" t="e">
        <f>CALÇADA!C23</f>
        <v>#REF!</v>
      </c>
      <c r="E24" s="370"/>
      <c r="F24" s="683"/>
      <c r="G24" s="664"/>
      <c r="H24" s="370"/>
      <c r="I24" s="370">
        <f t="shared" si="0"/>
        <v>0</v>
      </c>
      <c r="J24" s="370">
        <f t="shared" si="6"/>
        <v>37</v>
      </c>
      <c r="K24" s="376">
        <f t="shared" si="1"/>
        <v>0</v>
      </c>
      <c r="L24" s="685">
        <f t="shared" si="2"/>
        <v>0</v>
      </c>
      <c r="M24" s="749">
        <f t="shared" si="3"/>
        <v>6.3E-2</v>
      </c>
      <c r="N24" s="376">
        <f t="shared" si="4"/>
        <v>0</v>
      </c>
    </row>
    <row r="25" spans="2:14" ht="15" x14ac:dyDescent="0.2">
      <c r="B25" s="375" t="e">
        <f>CALÇADA!A24</f>
        <v>#REF!</v>
      </c>
      <c r="C25" s="686" t="e">
        <f>CALÇADA!B24</f>
        <v>#REF!</v>
      </c>
      <c r="D25" s="682" t="e">
        <f>CALÇADA!C24</f>
        <v>#REF!</v>
      </c>
      <c r="E25" s="370"/>
      <c r="F25" s="683"/>
      <c r="G25" s="664"/>
      <c r="H25" s="370"/>
      <c r="I25" s="370">
        <f t="shared" si="0"/>
        <v>0</v>
      </c>
      <c r="J25" s="370">
        <f t="shared" si="6"/>
        <v>37</v>
      </c>
      <c r="K25" s="376">
        <f t="shared" si="1"/>
        <v>0</v>
      </c>
      <c r="L25" s="685">
        <f t="shared" si="2"/>
        <v>0</v>
      </c>
      <c r="M25" s="749">
        <f t="shared" si="3"/>
        <v>6.3E-2</v>
      </c>
      <c r="N25" s="376">
        <f t="shared" si="4"/>
        <v>0</v>
      </c>
    </row>
    <row r="26" spans="2:14" ht="15" x14ac:dyDescent="0.2">
      <c r="B26" s="375" t="e">
        <f>CALÇADA!A25</f>
        <v>#REF!</v>
      </c>
      <c r="C26" s="686" t="e">
        <f>CALÇADA!B25</f>
        <v>#REF!</v>
      </c>
      <c r="D26" s="682" t="e">
        <f>CALÇADA!C25</f>
        <v>#REF!</v>
      </c>
      <c r="E26" s="370"/>
      <c r="F26" s="683"/>
      <c r="G26" s="664"/>
      <c r="H26" s="370"/>
      <c r="I26" s="370">
        <f t="shared" si="0"/>
        <v>0</v>
      </c>
      <c r="J26" s="370">
        <f t="shared" si="6"/>
        <v>37</v>
      </c>
      <c r="K26" s="376">
        <f t="shared" si="1"/>
        <v>0</v>
      </c>
      <c r="L26" s="685">
        <f t="shared" si="2"/>
        <v>0</v>
      </c>
      <c r="M26" s="749">
        <f t="shared" si="3"/>
        <v>6.3E-2</v>
      </c>
      <c r="N26" s="376">
        <f t="shared" si="4"/>
        <v>0</v>
      </c>
    </row>
    <row r="27" spans="2:14" ht="15" x14ac:dyDescent="0.2">
      <c r="B27" s="375">
        <f>CALÇADA!A26</f>
        <v>12</v>
      </c>
      <c r="C27" s="686" t="str">
        <f>CALÇADA!B26</f>
        <v>AV. PRESIDENTE TANCREDO NEVES</v>
      </c>
      <c r="D27" s="682">
        <f>CALÇADA!C26</f>
        <v>138.63999999999999</v>
      </c>
      <c r="E27" s="370"/>
      <c r="F27" s="683"/>
      <c r="G27" s="664"/>
      <c r="H27" s="370"/>
      <c r="I27" s="370">
        <f t="shared" si="0"/>
        <v>0</v>
      </c>
      <c r="J27" s="370">
        <f t="shared" si="6"/>
        <v>37</v>
      </c>
      <c r="K27" s="376">
        <f t="shared" si="1"/>
        <v>0</v>
      </c>
      <c r="L27" s="685">
        <f t="shared" si="2"/>
        <v>0</v>
      </c>
      <c r="M27" s="749">
        <f t="shared" si="3"/>
        <v>6.3E-2</v>
      </c>
      <c r="N27" s="376">
        <f t="shared" si="4"/>
        <v>0</v>
      </c>
    </row>
    <row r="28" spans="2:14" ht="15" x14ac:dyDescent="0.2">
      <c r="B28" s="375" t="e">
        <f>CALÇADA!A27</f>
        <v>#REF!</v>
      </c>
      <c r="C28" s="686" t="e">
        <f>CALÇADA!B27</f>
        <v>#REF!</v>
      </c>
      <c r="D28" s="682" t="e">
        <f>CALÇADA!C27</f>
        <v>#REF!</v>
      </c>
      <c r="E28" s="370"/>
      <c r="F28" s="683"/>
      <c r="G28" s="664"/>
      <c r="H28" s="370"/>
      <c r="I28" s="370">
        <f t="shared" si="0"/>
        <v>0</v>
      </c>
      <c r="J28" s="370">
        <f t="shared" si="6"/>
        <v>37</v>
      </c>
      <c r="K28" s="376">
        <f t="shared" si="1"/>
        <v>0</v>
      </c>
      <c r="L28" s="685">
        <f t="shared" si="2"/>
        <v>0</v>
      </c>
      <c r="M28" s="749">
        <f t="shared" si="3"/>
        <v>6.3E-2</v>
      </c>
      <c r="N28" s="376">
        <f t="shared" si="4"/>
        <v>0</v>
      </c>
    </row>
    <row r="29" spans="2:14" ht="15" x14ac:dyDescent="0.2">
      <c r="B29" s="375" t="e">
        <f>CALÇADA!A28</f>
        <v>#REF!</v>
      </c>
      <c r="C29" s="686" t="e">
        <f>CALÇADA!B28</f>
        <v>#REF!</v>
      </c>
      <c r="D29" s="682" t="e">
        <f>CALÇADA!C28</f>
        <v>#REF!</v>
      </c>
      <c r="E29" s="370"/>
      <c r="F29" s="683"/>
      <c r="G29" s="664"/>
      <c r="H29" s="370"/>
      <c r="I29" s="370">
        <f t="shared" si="0"/>
        <v>0</v>
      </c>
      <c r="J29" s="370">
        <f t="shared" si="6"/>
        <v>37</v>
      </c>
      <c r="K29" s="376">
        <f t="shared" si="1"/>
        <v>0</v>
      </c>
      <c r="L29" s="685">
        <f t="shared" si="2"/>
        <v>0</v>
      </c>
      <c r="M29" s="749">
        <f t="shared" si="3"/>
        <v>6.3E-2</v>
      </c>
      <c r="N29" s="376">
        <f t="shared" si="4"/>
        <v>0</v>
      </c>
    </row>
    <row r="30" spans="2:14" ht="15" x14ac:dyDescent="0.2">
      <c r="B30" s="375" t="e">
        <f>CALÇADA!A29</f>
        <v>#REF!</v>
      </c>
      <c r="C30" s="686" t="e">
        <f>CALÇADA!B29</f>
        <v>#REF!</v>
      </c>
      <c r="D30" s="682" t="e">
        <f>CALÇADA!C29</f>
        <v>#REF!</v>
      </c>
      <c r="E30" s="370"/>
      <c r="F30" s="683"/>
      <c r="G30" s="664"/>
      <c r="H30" s="370"/>
      <c r="I30" s="370">
        <f t="shared" si="0"/>
        <v>0</v>
      </c>
      <c r="J30" s="370">
        <f t="shared" si="6"/>
        <v>37</v>
      </c>
      <c r="K30" s="376">
        <f t="shared" si="1"/>
        <v>0</v>
      </c>
      <c r="L30" s="685">
        <f t="shared" si="2"/>
        <v>0</v>
      </c>
      <c r="M30" s="749">
        <f t="shared" si="3"/>
        <v>6.3E-2</v>
      </c>
      <c r="N30" s="376">
        <f t="shared" si="4"/>
        <v>0</v>
      </c>
    </row>
    <row r="31" spans="2:14" ht="15" x14ac:dyDescent="0.2">
      <c r="B31" s="375" t="e">
        <f>CALÇADA!A30</f>
        <v>#REF!</v>
      </c>
      <c r="C31" s="686" t="e">
        <f>CALÇADA!B30</f>
        <v>#REF!</v>
      </c>
      <c r="D31" s="682" t="e">
        <f>CALÇADA!C30</f>
        <v>#REF!</v>
      </c>
      <c r="E31" s="370"/>
      <c r="F31" s="683"/>
      <c r="G31" s="664"/>
      <c r="H31" s="370"/>
      <c r="I31" s="370">
        <f t="shared" si="0"/>
        <v>0</v>
      </c>
      <c r="J31" s="370">
        <f t="shared" si="6"/>
        <v>37</v>
      </c>
      <c r="K31" s="376">
        <f t="shared" si="1"/>
        <v>0</v>
      </c>
      <c r="L31" s="685">
        <f t="shared" si="2"/>
        <v>0</v>
      </c>
      <c r="M31" s="749">
        <f t="shared" si="3"/>
        <v>6.3E-2</v>
      </c>
      <c r="N31" s="376">
        <f t="shared" si="4"/>
        <v>0</v>
      </c>
    </row>
    <row r="32" spans="2:14" ht="15" x14ac:dyDescent="0.2">
      <c r="B32" s="375" t="e">
        <f>CALÇADA!A31</f>
        <v>#REF!</v>
      </c>
      <c r="C32" s="686" t="e">
        <f>CALÇADA!B31</f>
        <v>#REF!</v>
      </c>
      <c r="D32" s="682" t="e">
        <f>CALÇADA!C31</f>
        <v>#REF!</v>
      </c>
      <c r="E32" s="370"/>
      <c r="F32" s="683"/>
      <c r="G32" s="664"/>
      <c r="H32" s="370"/>
      <c r="I32" s="370">
        <f t="shared" si="0"/>
        <v>0</v>
      </c>
      <c r="J32" s="370">
        <f t="shared" si="6"/>
        <v>37</v>
      </c>
      <c r="K32" s="376">
        <f t="shared" si="1"/>
        <v>0</v>
      </c>
      <c r="L32" s="685">
        <f t="shared" si="2"/>
        <v>0</v>
      </c>
      <c r="M32" s="749">
        <f t="shared" si="3"/>
        <v>6.3E-2</v>
      </c>
      <c r="N32" s="376">
        <f t="shared" si="4"/>
        <v>0</v>
      </c>
    </row>
    <row r="33" spans="2:14" ht="15" x14ac:dyDescent="0.2">
      <c r="B33" s="375" t="e">
        <f>CALÇADA!A32</f>
        <v>#REF!</v>
      </c>
      <c r="C33" s="686" t="e">
        <f>CALÇADA!B32</f>
        <v>#REF!</v>
      </c>
      <c r="D33" s="682" t="e">
        <f>CALÇADA!C32</f>
        <v>#REF!</v>
      </c>
      <c r="E33" s="370"/>
      <c r="F33" s="683"/>
      <c r="G33" s="664"/>
      <c r="H33" s="370"/>
      <c r="I33" s="370">
        <f t="shared" si="0"/>
        <v>0</v>
      </c>
      <c r="J33" s="370">
        <f t="shared" ref="J33:J36" si="7">$J$12</f>
        <v>37</v>
      </c>
      <c r="K33" s="376">
        <f t="shared" si="1"/>
        <v>0</v>
      </c>
      <c r="L33" s="685">
        <f t="shared" si="2"/>
        <v>0</v>
      </c>
      <c r="M33" s="749">
        <f t="shared" si="3"/>
        <v>6.3E-2</v>
      </c>
      <c r="N33" s="376">
        <f t="shared" si="4"/>
        <v>0</v>
      </c>
    </row>
    <row r="34" spans="2:14" ht="15" x14ac:dyDescent="0.2">
      <c r="B34" s="375" t="e">
        <f>CALÇADA!A33</f>
        <v>#REF!</v>
      </c>
      <c r="C34" s="686" t="e">
        <f>CALÇADA!B33</f>
        <v>#REF!</v>
      </c>
      <c r="D34" s="682" t="e">
        <f>CALÇADA!C33</f>
        <v>#REF!</v>
      </c>
      <c r="E34" s="370"/>
      <c r="F34" s="683"/>
      <c r="G34" s="664"/>
      <c r="H34" s="370"/>
      <c r="I34" s="370">
        <f t="shared" si="0"/>
        <v>0</v>
      </c>
      <c r="J34" s="370">
        <f t="shared" si="7"/>
        <v>37</v>
      </c>
      <c r="K34" s="376">
        <f t="shared" si="1"/>
        <v>0</v>
      </c>
      <c r="L34" s="685">
        <f t="shared" si="2"/>
        <v>0</v>
      </c>
      <c r="M34" s="749">
        <f t="shared" si="3"/>
        <v>6.3E-2</v>
      </c>
      <c r="N34" s="376">
        <f t="shared" si="4"/>
        <v>0</v>
      </c>
    </row>
    <row r="35" spans="2:14" ht="15" x14ac:dyDescent="0.2">
      <c r="B35" s="375" t="e">
        <f>CALÇADA!A34</f>
        <v>#REF!</v>
      </c>
      <c r="C35" s="686" t="e">
        <f>CALÇADA!B34</f>
        <v>#REF!</v>
      </c>
      <c r="D35" s="682" t="e">
        <f>CALÇADA!C34</f>
        <v>#REF!</v>
      </c>
      <c r="E35" s="370"/>
      <c r="F35" s="683"/>
      <c r="G35" s="664"/>
      <c r="H35" s="370"/>
      <c r="I35" s="370">
        <f t="shared" si="0"/>
        <v>0</v>
      </c>
      <c r="J35" s="370">
        <f t="shared" si="7"/>
        <v>37</v>
      </c>
      <c r="K35" s="376">
        <f t="shared" si="1"/>
        <v>0</v>
      </c>
      <c r="L35" s="685">
        <f t="shared" si="2"/>
        <v>0</v>
      </c>
      <c r="M35" s="749">
        <f t="shared" si="3"/>
        <v>6.3E-2</v>
      </c>
      <c r="N35" s="376">
        <f t="shared" si="4"/>
        <v>0</v>
      </c>
    </row>
    <row r="36" spans="2:14" ht="15" x14ac:dyDescent="0.2">
      <c r="B36" s="375" t="e">
        <f>CALÇADA!A35</f>
        <v>#REF!</v>
      </c>
      <c r="C36" s="686" t="e">
        <f>CALÇADA!B35</f>
        <v>#REF!</v>
      </c>
      <c r="D36" s="682" t="e">
        <f>CALÇADA!C35</f>
        <v>#REF!</v>
      </c>
      <c r="E36" s="370"/>
      <c r="F36" s="683"/>
      <c r="G36" s="664"/>
      <c r="H36" s="370"/>
      <c r="I36" s="370">
        <f t="shared" si="0"/>
        <v>0</v>
      </c>
      <c r="J36" s="370">
        <f t="shared" si="7"/>
        <v>37</v>
      </c>
      <c r="K36" s="376">
        <f t="shared" si="1"/>
        <v>0</v>
      </c>
      <c r="L36" s="685">
        <f t="shared" si="2"/>
        <v>0</v>
      </c>
      <c r="M36" s="749">
        <f t="shared" si="3"/>
        <v>6.3E-2</v>
      </c>
      <c r="N36" s="376">
        <f t="shared" si="4"/>
        <v>0</v>
      </c>
    </row>
    <row r="37" spans="2:14" ht="15" x14ac:dyDescent="0.2">
      <c r="B37" s="375" t="e">
        <f>CALÇADA!A36</f>
        <v>#REF!</v>
      </c>
      <c r="C37" s="686" t="e">
        <f>CALÇADA!B36</f>
        <v>#REF!</v>
      </c>
      <c r="D37" s="682" t="e">
        <f>CALÇADA!C36</f>
        <v>#REF!</v>
      </c>
      <c r="E37" s="370"/>
      <c r="F37" s="683"/>
      <c r="G37" s="664"/>
      <c r="H37" s="370"/>
      <c r="I37" s="370">
        <f t="shared" si="0"/>
        <v>0</v>
      </c>
      <c r="J37" s="370">
        <f t="shared" ref="J37:J40" si="8">$J$12</f>
        <v>37</v>
      </c>
      <c r="K37" s="376">
        <f t="shared" si="1"/>
        <v>0</v>
      </c>
      <c r="L37" s="685">
        <f t="shared" si="2"/>
        <v>0</v>
      </c>
      <c r="M37" s="749">
        <f t="shared" si="3"/>
        <v>6.3E-2</v>
      </c>
      <c r="N37" s="376">
        <f t="shared" si="4"/>
        <v>0</v>
      </c>
    </row>
    <row r="38" spans="2:14" ht="15" x14ac:dyDescent="0.2">
      <c r="B38" s="375" t="e">
        <f>CALÇADA!A37</f>
        <v>#REF!</v>
      </c>
      <c r="C38" s="686" t="e">
        <f>CALÇADA!B37</f>
        <v>#REF!</v>
      </c>
      <c r="D38" s="682" t="e">
        <f>CALÇADA!C37</f>
        <v>#REF!</v>
      </c>
      <c r="E38" s="370"/>
      <c r="F38" s="683"/>
      <c r="G38" s="664"/>
      <c r="H38" s="370"/>
      <c r="I38" s="370">
        <f t="shared" si="0"/>
        <v>0</v>
      </c>
      <c r="J38" s="370">
        <f t="shared" si="8"/>
        <v>37</v>
      </c>
      <c r="K38" s="376">
        <f t="shared" si="1"/>
        <v>0</v>
      </c>
      <c r="L38" s="685">
        <f t="shared" si="2"/>
        <v>0</v>
      </c>
      <c r="M38" s="749">
        <f t="shared" si="3"/>
        <v>6.3E-2</v>
      </c>
      <c r="N38" s="376">
        <f t="shared" si="4"/>
        <v>0</v>
      </c>
    </row>
    <row r="39" spans="2:14" ht="15" x14ac:dyDescent="0.2">
      <c r="B39" s="375" t="e">
        <f>CALÇADA!A38</f>
        <v>#REF!</v>
      </c>
      <c r="C39" s="686" t="e">
        <f>CALÇADA!B38</f>
        <v>#REF!</v>
      </c>
      <c r="D39" s="682" t="e">
        <f>CALÇADA!C38</f>
        <v>#REF!</v>
      </c>
      <c r="E39" s="370"/>
      <c r="F39" s="683"/>
      <c r="G39" s="664"/>
      <c r="H39" s="370"/>
      <c r="I39" s="370">
        <f t="shared" si="0"/>
        <v>0</v>
      </c>
      <c r="J39" s="370">
        <f t="shared" si="8"/>
        <v>37</v>
      </c>
      <c r="K39" s="376">
        <f t="shared" si="1"/>
        <v>0</v>
      </c>
      <c r="L39" s="685">
        <f t="shared" si="2"/>
        <v>0</v>
      </c>
      <c r="M39" s="749">
        <f t="shared" si="3"/>
        <v>6.3E-2</v>
      </c>
      <c r="N39" s="376">
        <f t="shared" si="4"/>
        <v>0</v>
      </c>
    </row>
    <row r="40" spans="2:14" ht="15" x14ac:dyDescent="0.2">
      <c r="B40" s="375" t="e">
        <f>CALÇADA!A39</f>
        <v>#REF!</v>
      </c>
      <c r="C40" s="686" t="e">
        <f>CALÇADA!B39</f>
        <v>#REF!</v>
      </c>
      <c r="D40" s="682" t="e">
        <f>CALÇADA!C39</f>
        <v>#REF!</v>
      </c>
      <c r="E40" s="370"/>
      <c r="F40" s="683"/>
      <c r="G40" s="664"/>
      <c r="H40" s="370"/>
      <c r="I40" s="370">
        <f t="shared" si="0"/>
        <v>0</v>
      </c>
      <c r="J40" s="370">
        <f t="shared" si="8"/>
        <v>37</v>
      </c>
      <c r="K40" s="376">
        <f t="shared" si="1"/>
        <v>0</v>
      </c>
      <c r="L40" s="685">
        <f t="shared" si="2"/>
        <v>0</v>
      </c>
      <c r="M40" s="749">
        <f t="shared" si="3"/>
        <v>6.3E-2</v>
      </c>
      <c r="N40" s="376">
        <f t="shared" si="4"/>
        <v>0</v>
      </c>
    </row>
    <row r="41" spans="2:14" ht="15" x14ac:dyDescent="0.2">
      <c r="B41" s="375" t="e">
        <f>CALÇADA!A40</f>
        <v>#REF!</v>
      </c>
      <c r="C41" s="686" t="e">
        <f>CALÇADA!B40</f>
        <v>#REF!</v>
      </c>
      <c r="D41" s="682" t="e">
        <f>CALÇADA!C40</f>
        <v>#REF!</v>
      </c>
      <c r="E41" s="370"/>
      <c r="F41" s="683"/>
      <c r="G41" s="664"/>
      <c r="H41" s="370"/>
      <c r="I41" s="370">
        <f t="shared" si="0"/>
        <v>0</v>
      </c>
      <c r="J41" s="370">
        <f t="shared" ref="J41:J46" si="9">$J$12</f>
        <v>37</v>
      </c>
      <c r="K41" s="376">
        <f t="shared" si="1"/>
        <v>0</v>
      </c>
      <c r="L41" s="685">
        <f t="shared" si="2"/>
        <v>0</v>
      </c>
      <c r="M41" s="749">
        <f t="shared" si="3"/>
        <v>6.3E-2</v>
      </c>
      <c r="N41" s="376">
        <f t="shared" si="4"/>
        <v>0</v>
      </c>
    </row>
    <row r="42" spans="2:14" ht="15" x14ac:dyDescent="0.2">
      <c r="B42" s="375" t="e">
        <f>CALÇADA!A41</f>
        <v>#REF!</v>
      </c>
      <c r="C42" s="686" t="e">
        <f>CALÇADA!B41</f>
        <v>#REF!</v>
      </c>
      <c r="D42" s="682" t="e">
        <f>CALÇADA!C41</f>
        <v>#REF!</v>
      </c>
      <c r="E42" s="370"/>
      <c r="F42" s="683"/>
      <c r="G42" s="664"/>
      <c r="H42" s="370"/>
      <c r="I42" s="370">
        <f t="shared" si="0"/>
        <v>0</v>
      </c>
      <c r="J42" s="370">
        <f t="shared" si="9"/>
        <v>37</v>
      </c>
      <c r="K42" s="376">
        <f t="shared" si="1"/>
        <v>0</v>
      </c>
      <c r="L42" s="685">
        <f t="shared" si="2"/>
        <v>0</v>
      </c>
      <c r="M42" s="749">
        <f t="shared" si="3"/>
        <v>6.3E-2</v>
      </c>
      <c r="N42" s="376">
        <f t="shared" si="4"/>
        <v>0</v>
      </c>
    </row>
    <row r="43" spans="2:14" ht="15" x14ac:dyDescent="0.2">
      <c r="B43" s="375" t="e">
        <f>CALÇADA!A42</f>
        <v>#REF!</v>
      </c>
      <c r="C43" s="686" t="e">
        <f>CALÇADA!B42</f>
        <v>#REF!</v>
      </c>
      <c r="D43" s="682" t="e">
        <f>CALÇADA!C42</f>
        <v>#REF!</v>
      </c>
      <c r="E43" s="370"/>
      <c r="F43" s="683"/>
      <c r="G43" s="664"/>
      <c r="H43" s="370"/>
      <c r="I43" s="370">
        <f t="shared" si="0"/>
        <v>0</v>
      </c>
      <c r="J43" s="370">
        <f t="shared" si="9"/>
        <v>37</v>
      </c>
      <c r="K43" s="376">
        <f t="shared" si="1"/>
        <v>0</v>
      </c>
      <c r="L43" s="685">
        <f t="shared" si="2"/>
        <v>0</v>
      </c>
      <c r="M43" s="749">
        <f t="shared" si="3"/>
        <v>6.3E-2</v>
      </c>
      <c r="N43" s="376">
        <f t="shared" si="4"/>
        <v>0</v>
      </c>
    </row>
    <row r="44" spans="2:14" ht="15" x14ac:dyDescent="0.2">
      <c r="B44" s="375" t="e">
        <f>CALÇADA!A43</f>
        <v>#REF!</v>
      </c>
      <c r="C44" s="686" t="e">
        <f>CALÇADA!B43</f>
        <v>#REF!</v>
      </c>
      <c r="D44" s="682" t="e">
        <f>CALÇADA!C43</f>
        <v>#REF!</v>
      </c>
      <c r="E44" s="370"/>
      <c r="F44" s="683"/>
      <c r="G44" s="664"/>
      <c r="H44" s="370"/>
      <c r="I44" s="370">
        <f t="shared" si="0"/>
        <v>0</v>
      </c>
      <c r="J44" s="370">
        <f t="shared" si="9"/>
        <v>37</v>
      </c>
      <c r="K44" s="376">
        <f t="shared" si="1"/>
        <v>0</v>
      </c>
      <c r="L44" s="685">
        <f t="shared" si="2"/>
        <v>0</v>
      </c>
      <c r="M44" s="749">
        <f t="shared" si="3"/>
        <v>6.3E-2</v>
      </c>
      <c r="N44" s="376">
        <f t="shared" si="4"/>
        <v>0</v>
      </c>
    </row>
    <row r="45" spans="2:14" ht="15" x14ac:dyDescent="0.2">
      <c r="B45" s="375" t="e">
        <f>CALÇADA!A44</f>
        <v>#REF!</v>
      </c>
      <c r="C45" s="686" t="e">
        <f>CALÇADA!B44</f>
        <v>#REF!</v>
      </c>
      <c r="D45" s="682" t="e">
        <f>CALÇADA!C44</f>
        <v>#REF!</v>
      </c>
      <c r="E45" s="370"/>
      <c r="F45" s="683"/>
      <c r="G45" s="664"/>
      <c r="H45" s="370"/>
      <c r="I45" s="370">
        <f t="shared" si="0"/>
        <v>0</v>
      </c>
      <c r="J45" s="370">
        <f t="shared" si="9"/>
        <v>37</v>
      </c>
      <c r="K45" s="376">
        <f t="shared" si="1"/>
        <v>0</v>
      </c>
      <c r="L45" s="685">
        <f t="shared" si="2"/>
        <v>0</v>
      </c>
      <c r="M45" s="749">
        <f t="shared" si="3"/>
        <v>6.3E-2</v>
      </c>
      <c r="N45" s="376">
        <f t="shared" si="4"/>
        <v>0</v>
      </c>
    </row>
    <row r="46" spans="2:14" ht="15" x14ac:dyDescent="0.2">
      <c r="B46" s="375" t="e">
        <f>CALÇADA!A45</f>
        <v>#REF!</v>
      </c>
      <c r="C46" s="686" t="e">
        <f>CALÇADA!B45</f>
        <v>#REF!</v>
      </c>
      <c r="D46" s="682" t="e">
        <f>CALÇADA!C45</f>
        <v>#REF!</v>
      </c>
      <c r="E46" s="370"/>
      <c r="F46" s="683"/>
      <c r="G46" s="664"/>
      <c r="H46" s="370"/>
      <c r="I46" s="370">
        <f t="shared" si="0"/>
        <v>0</v>
      </c>
      <c r="J46" s="370">
        <f t="shared" si="9"/>
        <v>37</v>
      </c>
      <c r="K46" s="376">
        <f t="shared" si="1"/>
        <v>0</v>
      </c>
      <c r="L46" s="685">
        <f t="shared" si="2"/>
        <v>0</v>
      </c>
      <c r="M46" s="749">
        <f t="shared" si="3"/>
        <v>6.3E-2</v>
      </c>
      <c r="N46" s="376">
        <f t="shared" si="4"/>
        <v>0</v>
      </c>
    </row>
    <row r="47" spans="2:14" ht="15" x14ac:dyDescent="0.2">
      <c r="B47" s="375"/>
      <c r="C47" s="686"/>
      <c r="D47" s="682"/>
      <c r="E47" s="370"/>
      <c r="F47" s="683"/>
      <c r="G47" s="664"/>
      <c r="H47" s="370"/>
      <c r="I47" s="370"/>
      <c r="J47" s="370"/>
      <c r="K47" s="376"/>
      <c r="L47" s="685"/>
      <c r="M47" s="749"/>
      <c r="N47" s="376"/>
    </row>
    <row r="48" spans="2:14" ht="15" x14ac:dyDescent="0.2">
      <c r="B48" s="687"/>
      <c r="C48" s="688"/>
      <c r="D48" s="689"/>
      <c r="E48" s="690"/>
      <c r="F48" s="691"/>
      <c r="G48" s="692"/>
      <c r="H48" s="690"/>
      <c r="I48" s="690"/>
      <c r="J48" s="690"/>
      <c r="K48" s="693"/>
      <c r="L48" s="694"/>
      <c r="M48" s="695"/>
      <c r="N48" s="693"/>
    </row>
    <row r="49" spans="2:14" ht="15.75" thickBot="1" x14ac:dyDescent="0.25">
      <c r="B49" s="1197" t="s">
        <v>391</v>
      </c>
      <c r="C49" s="1254"/>
      <c r="D49" s="684" t="e">
        <f>SUM(D12:D48)</f>
        <v>#REF!</v>
      </c>
      <c r="E49" s="679"/>
      <c r="F49" s="684">
        <f>SUM(F12:F48)</f>
        <v>0</v>
      </c>
      <c r="G49" s="681"/>
      <c r="H49" s="474"/>
      <c r="I49" s="474"/>
      <c r="J49" s="474"/>
      <c r="K49" s="684">
        <f>SUM(K12:K48)</f>
        <v>0</v>
      </c>
      <c r="L49" s="684">
        <f>SUM(L12:L48)</f>
        <v>0</v>
      </c>
      <c r="M49" s="663"/>
      <c r="N49" s="684">
        <f>SUM(N12:N48)</f>
        <v>0</v>
      </c>
    </row>
    <row r="55" spans="2:14" x14ac:dyDescent="0.2">
      <c r="C55" s="188" t="str">
        <f>Terrap.!B26</f>
        <v>Robson Darcio Sousa</v>
      </c>
    </row>
    <row r="56" spans="2:14" x14ac:dyDescent="0.2">
      <c r="C56" s="887" t="str">
        <f>Terrap.!B27</f>
        <v>ENGº CIVIL</v>
      </c>
    </row>
    <row r="57" spans="2:14" x14ac:dyDescent="0.2">
      <c r="C57" s="887" t="str">
        <f>Terrap.!B28</f>
        <v>Crea: 120.263.916-0</v>
      </c>
    </row>
  </sheetData>
  <mergeCells count="20">
    <mergeCell ref="A1:N1"/>
    <mergeCell ref="A2:N2"/>
    <mergeCell ref="B4:H4"/>
    <mergeCell ref="B5:D5"/>
    <mergeCell ref="F5:H5"/>
    <mergeCell ref="I3:N6"/>
    <mergeCell ref="B3:H3"/>
    <mergeCell ref="B6:D6"/>
    <mergeCell ref="F6:G6"/>
    <mergeCell ref="B49:C49"/>
    <mergeCell ref="A7:K7"/>
    <mergeCell ref="B9:B10"/>
    <mergeCell ref="C9:C10"/>
    <mergeCell ref="G9:K9"/>
    <mergeCell ref="D9:F9"/>
    <mergeCell ref="B11:N11"/>
    <mergeCell ref="M9:M10"/>
    <mergeCell ref="N9:N10"/>
    <mergeCell ref="B8:N8"/>
    <mergeCell ref="L9:L10"/>
  </mergeCells>
  <pageMargins left="0.51181102362204722" right="0.51181102362204722" top="0.78740157480314965" bottom="0.78740157480314965" header="0.31496062992125984" footer="0.31496062992125984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FFFF00"/>
    <pageSetUpPr fitToPage="1"/>
  </sheetPr>
  <dimension ref="A1:L47"/>
  <sheetViews>
    <sheetView view="pageBreakPreview" zoomScale="115" zoomScaleSheetLayoutView="115" workbookViewId="0">
      <selection activeCell="F14" sqref="F14"/>
    </sheetView>
  </sheetViews>
  <sheetFormatPr defaultColWidth="9.140625" defaultRowHeight="12.75" x14ac:dyDescent="0.2"/>
  <cols>
    <col min="1" max="1" width="11.42578125" style="108" customWidth="1"/>
    <col min="2" max="2" width="31.28515625" style="108" customWidth="1"/>
    <col min="3" max="3" width="18.140625" style="108" customWidth="1"/>
    <col min="4" max="4" width="7.85546875" style="108" customWidth="1"/>
    <col min="5" max="5" width="10.7109375" style="108" customWidth="1"/>
    <col min="6" max="6" width="9.140625" style="108"/>
    <col min="7" max="7" width="10.85546875" style="108" customWidth="1"/>
    <col min="8" max="8" width="10.5703125" style="108" customWidth="1"/>
    <col min="9" max="9" width="13.28515625" style="108" customWidth="1"/>
    <col min="10" max="10" width="14" style="108" customWidth="1"/>
    <col min="11" max="11" width="11.140625" style="108" customWidth="1"/>
    <col min="12" max="16384" width="9.140625" style="108"/>
  </cols>
  <sheetData>
    <row r="1" spans="1:12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3"/>
    </row>
    <row r="2" spans="1:12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6"/>
    </row>
    <row r="3" spans="1:12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7" t="str">
        <f>Terrap.!I3</f>
        <v>SINAPI - JULHO / 2020    DESONERADO                                                                                                                           SICRO 10/2019</v>
      </c>
      <c r="J3" s="1058"/>
    </row>
    <row r="4" spans="1:12" ht="15" customHeight="1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7"/>
      <c r="J4" s="1058"/>
    </row>
    <row r="5" spans="1:12" ht="15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387" t="s">
        <v>362</v>
      </c>
      <c r="F5" s="1055" t="str">
        <f>Terrap.!F5</f>
        <v>AGOSTO 2020</v>
      </c>
      <c r="G5" s="1055"/>
      <c r="H5" s="1055"/>
      <c r="I5" s="1057"/>
      <c r="J5" s="1058"/>
    </row>
    <row r="6" spans="1:12" ht="15.75" thickBot="1" x14ac:dyDescent="0.25">
      <c r="A6" s="388" t="s">
        <v>59</v>
      </c>
      <c r="B6" s="1056">
        <f>Pavim.!B6</f>
        <v>31131.72</v>
      </c>
      <c r="C6" s="1056"/>
      <c r="D6" s="1056"/>
      <c r="E6" s="389" t="s">
        <v>60</v>
      </c>
      <c r="F6" s="1143">
        <f>Terrap.!F6</f>
        <v>0.25640000000000002</v>
      </c>
      <c r="G6" s="1143"/>
      <c r="H6" s="389" t="s">
        <v>61</v>
      </c>
      <c r="I6" s="1059"/>
      <c r="J6" s="1060"/>
    </row>
    <row r="7" spans="1:12" ht="32.25" customHeight="1" thickBot="1" x14ac:dyDescent="0.25">
      <c r="A7" s="1273" t="s">
        <v>105</v>
      </c>
      <c r="B7" s="1274"/>
      <c r="C7" s="1274"/>
      <c r="D7" s="1274"/>
      <c r="E7" s="1274"/>
      <c r="F7" s="1274"/>
      <c r="G7" s="1274"/>
      <c r="H7" s="1274"/>
      <c r="I7" s="1274"/>
      <c r="J7" s="1275"/>
    </row>
    <row r="8" spans="1:12" ht="15.75" thickBot="1" x14ac:dyDescent="0.25">
      <c r="A8" s="110" t="s">
        <v>106</v>
      </c>
      <c r="B8" s="111"/>
      <c r="C8" s="111"/>
      <c r="D8" s="111"/>
      <c r="E8" s="111"/>
      <c r="F8" s="111"/>
      <c r="G8" s="111"/>
      <c r="H8" s="111"/>
      <c r="I8" s="111"/>
      <c r="J8" s="112"/>
      <c r="K8" s="113"/>
      <c r="L8" s="113"/>
    </row>
    <row r="9" spans="1:12" ht="15" x14ac:dyDescent="0.2">
      <c r="A9" s="114" t="s">
        <v>23</v>
      </c>
      <c r="B9" s="115" t="s">
        <v>217</v>
      </c>
      <c r="C9" s="116" t="s">
        <v>107</v>
      </c>
      <c r="D9" s="116">
        <v>0.21</v>
      </c>
      <c r="E9" s="24" t="s">
        <v>108</v>
      </c>
      <c r="F9" s="117">
        <v>30</v>
      </c>
      <c r="G9" s="116" t="s">
        <v>109</v>
      </c>
      <c r="H9" s="118" t="s">
        <v>110</v>
      </c>
      <c r="I9" s="119">
        <f>D9*F9</f>
        <v>6.3</v>
      </c>
      <c r="J9" s="106" t="s">
        <v>6</v>
      </c>
      <c r="K9" s="113"/>
      <c r="L9" s="113"/>
    </row>
    <row r="10" spans="1:12" ht="15" x14ac:dyDescent="0.2">
      <c r="A10" s="120"/>
      <c r="B10" s="121"/>
      <c r="C10" s="122" t="s">
        <v>218</v>
      </c>
      <c r="D10" s="122"/>
      <c r="E10" s="123"/>
      <c r="F10" s="124"/>
      <c r="G10" s="125"/>
      <c r="H10" s="126"/>
      <c r="I10" s="127"/>
      <c r="J10" s="102"/>
      <c r="K10" s="113"/>
      <c r="L10" s="113"/>
    </row>
    <row r="11" spans="1:12" ht="15" x14ac:dyDescent="0.2">
      <c r="A11" s="114" t="s">
        <v>44</v>
      </c>
      <c r="B11" s="115" t="s">
        <v>112</v>
      </c>
      <c r="C11" s="116" t="s">
        <v>107</v>
      </c>
      <c r="D11" s="116">
        <f>0.5*0.5</f>
        <v>0.25</v>
      </c>
      <c r="E11" s="24" t="s">
        <v>108</v>
      </c>
      <c r="F11" s="117">
        <v>80</v>
      </c>
      <c r="G11" s="116" t="s">
        <v>109</v>
      </c>
      <c r="H11" s="118" t="s">
        <v>110</v>
      </c>
      <c r="I11" s="119">
        <f>D11*F11</f>
        <v>20</v>
      </c>
      <c r="J11" s="106" t="s">
        <v>6</v>
      </c>
    </row>
    <row r="12" spans="1:12" ht="15" x14ac:dyDescent="0.2">
      <c r="A12" s="120"/>
      <c r="B12" s="121"/>
      <c r="C12" s="122" t="s">
        <v>113</v>
      </c>
      <c r="D12" s="125"/>
      <c r="E12" s="123"/>
      <c r="F12" s="124"/>
      <c r="G12" s="125"/>
      <c r="H12" s="126"/>
      <c r="I12" s="127"/>
      <c r="J12" s="102"/>
    </row>
    <row r="13" spans="1:12" ht="15" x14ac:dyDescent="0.2">
      <c r="A13" s="114" t="s">
        <v>45</v>
      </c>
      <c r="B13" s="115" t="s">
        <v>147</v>
      </c>
      <c r="C13" s="116" t="s">
        <v>107</v>
      </c>
      <c r="D13" s="128">
        <f>0.45*0.25</f>
        <v>0.11</v>
      </c>
      <c r="E13" s="24" t="s">
        <v>108</v>
      </c>
      <c r="F13" s="117">
        <v>39</v>
      </c>
      <c r="G13" s="116" t="s">
        <v>109</v>
      </c>
      <c r="H13" s="118" t="s">
        <v>110</v>
      </c>
      <c r="I13" s="119">
        <f>D13*F13</f>
        <v>4.29</v>
      </c>
      <c r="J13" s="106" t="s">
        <v>6</v>
      </c>
    </row>
    <row r="14" spans="1:12" x14ac:dyDescent="0.2">
      <c r="A14" s="120"/>
      <c r="B14" s="125"/>
      <c r="C14" s="129" t="s">
        <v>546</v>
      </c>
      <c r="D14" s="125"/>
      <c r="E14" s="123"/>
      <c r="F14" s="125"/>
      <c r="G14" s="125"/>
      <c r="H14" s="126"/>
      <c r="I14" s="1"/>
      <c r="J14" s="103"/>
    </row>
    <row r="15" spans="1:12" ht="15" x14ac:dyDescent="0.2">
      <c r="A15" s="130"/>
      <c r="B15" s="131"/>
      <c r="C15" s="131"/>
      <c r="D15" s="131"/>
      <c r="E15" s="132"/>
      <c r="F15" s="131" t="s">
        <v>13</v>
      </c>
      <c r="G15" s="131"/>
      <c r="H15" s="133"/>
      <c r="I15" s="134">
        <f>SUM(I9:I14)</f>
        <v>30.59</v>
      </c>
      <c r="J15" s="107" t="s">
        <v>6</v>
      </c>
    </row>
    <row r="16" spans="1:12" ht="13.5" thickBot="1" x14ac:dyDescent="0.25">
      <c r="A16" s="1276"/>
      <c r="B16" s="1277"/>
      <c r="C16" s="1277"/>
      <c r="D16" s="1277"/>
      <c r="E16" s="1277"/>
      <c r="F16" s="1277"/>
      <c r="G16" s="1277"/>
      <c r="H16" s="1277"/>
      <c r="I16" s="1278"/>
      <c r="J16" s="1279"/>
      <c r="K16" s="135"/>
      <c r="L16" s="109"/>
    </row>
    <row r="17" spans="1:11" ht="15.75" thickBot="1" x14ac:dyDescent="0.25">
      <c r="A17" s="110" t="s">
        <v>114</v>
      </c>
      <c r="B17" s="111"/>
      <c r="C17" s="111"/>
      <c r="D17" s="111"/>
      <c r="E17" s="111"/>
      <c r="F17" s="111"/>
      <c r="G17" s="136"/>
      <c r="H17" s="136"/>
      <c r="I17" s="136"/>
      <c r="J17" s="137"/>
      <c r="K17" s="135"/>
    </row>
    <row r="18" spans="1:11" x14ac:dyDescent="0.2">
      <c r="A18" s="138" t="s">
        <v>24</v>
      </c>
      <c r="B18" s="1" t="s">
        <v>115</v>
      </c>
      <c r="C18" s="1"/>
      <c r="D18" s="1"/>
      <c r="E18" s="139" t="s">
        <v>110</v>
      </c>
      <c r="F18" s="140">
        <f>F11+F9</f>
        <v>110</v>
      </c>
      <c r="G18" s="1" t="s">
        <v>109</v>
      </c>
      <c r="H18" s="1"/>
      <c r="I18" s="1"/>
      <c r="J18" s="2"/>
    </row>
    <row r="19" spans="1:11" x14ac:dyDescent="0.2">
      <c r="A19" s="138"/>
      <c r="B19" s="1"/>
      <c r="C19" s="1"/>
      <c r="D19" s="1"/>
      <c r="E19" s="293"/>
      <c r="F19" s="1"/>
      <c r="G19" s="1"/>
      <c r="H19" s="1"/>
      <c r="I19" s="1"/>
      <c r="J19" s="2"/>
    </row>
    <row r="20" spans="1:11" x14ac:dyDescent="0.2">
      <c r="A20" s="120" t="s">
        <v>32</v>
      </c>
      <c r="B20" s="121" t="s">
        <v>116</v>
      </c>
      <c r="C20" s="125"/>
      <c r="D20" s="125"/>
      <c r="E20" s="126" t="s">
        <v>110</v>
      </c>
      <c r="F20" s="141">
        <f>F13</f>
        <v>39</v>
      </c>
      <c r="G20" s="125" t="s">
        <v>109</v>
      </c>
      <c r="H20" s="125"/>
      <c r="I20" s="125"/>
      <c r="J20" s="142"/>
    </row>
    <row r="21" spans="1:11" ht="13.5" thickBot="1" x14ac:dyDescent="0.25">
      <c r="A21" s="138"/>
      <c r="B21" s="25"/>
      <c r="C21" s="1"/>
      <c r="D21" s="1"/>
      <c r="E21" s="139"/>
      <c r="F21" s="140"/>
      <c r="G21" s="1"/>
      <c r="H21" s="1"/>
      <c r="I21" s="1"/>
      <c r="J21" s="2"/>
    </row>
    <row r="22" spans="1:11" ht="15" x14ac:dyDescent="0.2">
      <c r="A22" s="143" t="s">
        <v>117</v>
      </c>
      <c r="B22" s="144"/>
      <c r="C22" s="144"/>
      <c r="D22" s="144"/>
      <c r="E22" s="145"/>
      <c r="F22" s="144"/>
      <c r="G22" s="144"/>
      <c r="H22" s="144"/>
      <c r="I22" s="144"/>
      <c r="J22" s="146"/>
    </row>
    <row r="23" spans="1:11" x14ac:dyDescent="0.2">
      <c r="A23" s="147" t="s">
        <v>25</v>
      </c>
      <c r="B23" s="148" t="s">
        <v>118</v>
      </c>
      <c r="C23" s="148"/>
      <c r="D23" s="148" t="s">
        <v>119</v>
      </c>
      <c r="E23" s="148" t="s">
        <v>120</v>
      </c>
      <c r="F23" s="148" t="s">
        <v>121</v>
      </c>
      <c r="G23" s="148"/>
      <c r="H23" s="148"/>
      <c r="I23" s="149" t="s">
        <v>122</v>
      </c>
      <c r="J23" s="150"/>
    </row>
    <row r="24" spans="1:11" ht="15" x14ac:dyDescent="0.2">
      <c r="A24" s="151" t="s">
        <v>38</v>
      </c>
      <c r="B24" s="152"/>
      <c r="C24" s="153"/>
      <c r="D24" s="22">
        <v>0.12</v>
      </c>
      <c r="E24" s="23">
        <v>2</v>
      </c>
      <c r="F24" s="154">
        <v>320</v>
      </c>
      <c r="G24" s="152"/>
      <c r="H24" s="152"/>
      <c r="I24" s="155">
        <f>D24*E24*F24</f>
        <v>76.8</v>
      </c>
      <c r="J24" s="101" t="s">
        <v>6</v>
      </c>
    </row>
    <row r="25" spans="1:11" x14ac:dyDescent="0.2">
      <c r="A25" s="156" t="s">
        <v>26</v>
      </c>
      <c r="B25" s="116" t="s">
        <v>222</v>
      </c>
      <c r="C25" s="116"/>
      <c r="D25" s="116"/>
      <c r="E25" s="116" t="s">
        <v>221</v>
      </c>
      <c r="F25" s="116" t="s">
        <v>121</v>
      </c>
      <c r="G25" s="116"/>
      <c r="H25" s="116"/>
      <c r="I25" s="157" t="s">
        <v>122</v>
      </c>
      <c r="J25" s="106"/>
    </row>
    <row r="26" spans="1:11" ht="15" x14ac:dyDescent="0.2">
      <c r="A26" s="158" t="s">
        <v>151</v>
      </c>
      <c r="B26" s="125"/>
      <c r="C26" s="159"/>
      <c r="D26" s="125"/>
      <c r="E26" s="123">
        <v>4.12</v>
      </c>
      <c r="F26" s="160">
        <f>F9</f>
        <v>30</v>
      </c>
      <c r="G26" s="160"/>
      <c r="H26" s="160"/>
      <c r="I26" s="161">
        <f>E26*F26</f>
        <v>123.6</v>
      </c>
      <c r="J26" s="102" t="s">
        <v>6</v>
      </c>
    </row>
    <row r="27" spans="1:11" x14ac:dyDescent="0.2">
      <c r="A27" s="156" t="s">
        <v>27</v>
      </c>
      <c r="B27" s="116" t="s">
        <v>123</v>
      </c>
      <c r="C27" s="116"/>
      <c r="D27" s="116"/>
      <c r="E27" s="116" t="s">
        <v>124</v>
      </c>
      <c r="F27" s="116" t="s">
        <v>119</v>
      </c>
      <c r="G27" s="116" t="s">
        <v>121</v>
      </c>
      <c r="H27" s="116" t="s">
        <v>125</v>
      </c>
      <c r="I27" s="115" t="s">
        <v>122</v>
      </c>
      <c r="J27" s="106"/>
    </row>
    <row r="28" spans="1:11" ht="15" x14ac:dyDescent="0.2">
      <c r="A28" s="158" t="s">
        <v>39</v>
      </c>
      <c r="B28" s="125"/>
      <c r="C28" s="159"/>
      <c r="D28" s="125"/>
      <c r="E28" s="160">
        <v>4</v>
      </c>
      <c r="F28" s="162">
        <v>0.4</v>
      </c>
      <c r="G28" s="160">
        <v>8</v>
      </c>
      <c r="H28" s="160">
        <f>F11</f>
        <v>80</v>
      </c>
      <c r="I28" s="163">
        <f>E28*F28*G28*H28</f>
        <v>1024</v>
      </c>
      <c r="J28" s="102" t="s">
        <v>6</v>
      </c>
    </row>
    <row r="29" spans="1:11" x14ac:dyDescent="0.2">
      <c r="A29" s="156" t="s">
        <v>29</v>
      </c>
      <c r="B29" s="116" t="s">
        <v>219</v>
      </c>
      <c r="C29" s="116"/>
      <c r="D29" s="116"/>
      <c r="E29" s="116" t="s">
        <v>124</v>
      </c>
      <c r="F29" s="116" t="s">
        <v>119</v>
      </c>
      <c r="G29" s="116" t="s">
        <v>121</v>
      </c>
      <c r="H29" s="116"/>
      <c r="I29" s="157" t="s">
        <v>122</v>
      </c>
      <c r="J29" s="106"/>
    </row>
    <row r="30" spans="1:11" ht="15" x14ac:dyDescent="0.2">
      <c r="A30" s="158" t="s">
        <v>41</v>
      </c>
      <c r="B30" s="125"/>
      <c r="C30" s="159"/>
      <c r="D30" s="125"/>
      <c r="E30" s="160">
        <v>4.2</v>
      </c>
      <c r="F30" s="162">
        <v>0.4</v>
      </c>
      <c r="G30" s="160">
        <f>F9</f>
        <v>30</v>
      </c>
      <c r="H30" s="160"/>
      <c r="I30" s="161">
        <f>E30*F30*G30</f>
        <v>50.4</v>
      </c>
      <c r="J30" s="102" t="s">
        <v>6</v>
      </c>
    </row>
    <row r="31" spans="1:11" x14ac:dyDescent="0.2">
      <c r="A31" s="156" t="s">
        <v>47</v>
      </c>
      <c r="B31" s="116" t="s">
        <v>220</v>
      </c>
      <c r="C31" s="116"/>
      <c r="D31" s="116"/>
      <c r="E31" s="116" t="s">
        <v>124</v>
      </c>
      <c r="F31" s="116" t="s">
        <v>119</v>
      </c>
      <c r="G31" s="116" t="s">
        <v>121</v>
      </c>
      <c r="H31" s="116"/>
      <c r="I31" s="157" t="s">
        <v>122</v>
      </c>
      <c r="J31" s="106"/>
    </row>
    <row r="32" spans="1:11" ht="15" x14ac:dyDescent="0.2">
      <c r="A32" s="164" t="s">
        <v>224</v>
      </c>
      <c r="B32" s="1"/>
      <c r="C32" s="165"/>
      <c r="D32" s="1"/>
      <c r="E32" s="166">
        <v>20</v>
      </c>
      <c r="F32" s="167">
        <v>0.15</v>
      </c>
      <c r="G32" s="166">
        <f>F9</f>
        <v>30</v>
      </c>
      <c r="H32" s="166"/>
      <c r="I32" s="168">
        <f>E32*F32*G32</f>
        <v>90</v>
      </c>
      <c r="J32" s="103" t="s">
        <v>6</v>
      </c>
    </row>
    <row r="33" spans="1:12" ht="15" x14ac:dyDescent="0.2">
      <c r="A33" s="169" t="s">
        <v>177</v>
      </c>
      <c r="B33" s="116" t="s">
        <v>126</v>
      </c>
      <c r="C33" s="24"/>
      <c r="D33" s="24"/>
      <c r="E33" s="115" t="s">
        <v>127</v>
      </c>
      <c r="F33" s="115" t="s">
        <v>119</v>
      </c>
      <c r="G33" s="115"/>
      <c r="H33" s="116"/>
      <c r="I33" s="157" t="s">
        <v>122</v>
      </c>
      <c r="J33" s="170"/>
    </row>
    <row r="34" spans="1:12" ht="15" x14ac:dyDescent="0.2">
      <c r="A34" s="158" t="s">
        <v>225</v>
      </c>
      <c r="B34" s="125" t="s">
        <v>148</v>
      </c>
      <c r="C34" s="171"/>
      <c r="D34" s="172"/>
      <c r="E34" s="172">
        <f>'MF e Sarj.'!C24</f>
        <v>8879.56</v>
      </c>
      <c r="F34" s="125">
        <v>0.15</v>
      </c>
      <c r="G34" s="163"/>
      <c r="H34" s="125"/>
      <c r="I34" s="161">
        <f>F34*E34</f>
        <v>1331.93</v>
      </c>
      <c r="J34" s="104" t="s">
        <v>6</v>
      </c>
      <c r="K34" s="1272"/>
      <c r="L34" s="1272"/>
    </row>
    <row r="35" spans="1:12" ht="15.75" thickBot="1" x14ac:dyDescent="0.25">
      <c r="A35" s="173"/>
      <c r="B35" s="3"/>
      <c r="C35" s="174"/>
      <c r="D35" s="3"/>
      <c r="E35" s="175"/>
      <c r="F35" s="176" t="s">
        <v>128</v>
      </c>
      <c r="G35" s="177"/>
      <c r="H35" s="177"/>
      <c r="I35" s="178">
        <f>I34+I28+I24+I32+I30+I26</f>
        <v>2696.73</v>
      </c>
      <c r="J35" s="105" t="s">
        <v>6</v>
      </c>
    </row>
    <row r="36" spans="1:12" ht="13.5" thickBot="1" x14ac:dyDescent="0.25">
      <c r="A36" s="1264"/>
      <c r="B36" s="1265"/>
      <c r="C36" s="1265"/>
      <c r="D36" s="1265"/>
      <c r="E36" s="1265"/>
      <c r="F36" s="1265"/>
      <c r="G36" s="1265"/>
      <c r="H36" s="1265"/>
      <c r="I36" s="1265"/>
      <c r="J36" s="1266"/>
    </row>
    <row r="37" spans="1:12" ht="21" x14ac:dyDescent="0.2">
      <c r="A37" s="1267" t="s">
        <v>129</v>
      </c>
      <c r="B37" s="1268"/>
      <c r="C37" s="1268"/>
      <c r="D37" s="1268"/>
      <c r="E37" s="1268"/>
      <c r="F37" s="1268"/>
      <c r="G37" s="1268"/>
      <c r="H37" s="1268"/>
      <c r="I37" s="1268"/>
      <c r="J37" s="1269"/>
    </row>
    <row r="38" spans="1:12" ht="15" customHeight="1" x14ac:dyDescent="0.2">
      <c r="A38" s="1270" t="s">
        <v>543</v>
      </c>
      <c r="B38" s="1271"/>
      <c r="C38" s="1271"/>
      <c r="D38" s="1271"/>
      <c r="E38" s="1271"/>
      <c r="F38" s="1271"/>
      <c r="G38" s="1271"/>
      <c r="H38" s="179"/>
      <c r="I38" s="180">
        <f>F13</f>
        <v>39</v>
      </c>
      <c r="J38" s="181" t="s">
        <v>49</v>
      </c>
      <c r="K38" s="182"/>
    </row>
    <row r="39" spans="1:12" ht="15" customHeight="1" x14ac:dyDescent="0.2">
      <c r="A39" s="1270" t="s">
        <v>542</v>
      </c>
      <c r="B39" s="1271"/>
      <c r="C39" s="1271"/>
      <c r="D39" s="1271"/>
      <c r="E39" s="1271"/>
      <c r="F39" s="1271"/>
      <c r="G39" s="1271"/>
      <c r="H39" s="179"/>
      <c r="I39" s="180">
        <f>I9+I11</f>
        <v>26.3</v>
      </c>
      <c r="J39" s="181" t="s">
        <v>35</v>
      </c>
      <c r="K39" s="182"/>
    </row>
    <row r="40" spans="1:12" ht="15" customHeight="1" x14ac:dyDescent="0.2">
      <c r="A40" s="1270" t="s">
        <v>544</v>
      </c>
      <c r="B40" s="1271"/>
      <c r="C40" s="1271"/>
      <c r="D40" s="1271"/>
      <c r="E40" s="1271"/>
      <c r="F40" s="1271"/>
      <c r="G40" s="1271"/>
      <c r="H40" s="179"/>
      <c r="I40" s="183">
        <f>F18+F20</f>
        <v>149</v>
      </c>
      <c r="J40" s="181" t="s">
        <v>49</v>
      </c>
      <c r="K40" s="184"/>
    </row>
    <row r="41" spans="1:12" ht="15" customHeight="1" thickBot="1" x14ac:dyDescent="0.25">
      <c r="A41" s="1262" t="s">
        <v>545</v>
      </c>
      <c r="B41" s="1263"/>
      <c r="C41" s="1263"/>
      <c r="D41" s="1263"/>
      <c r="E41" s="1263"/>
      <c r="F41" s="1263"/>
      <c r="G41" s="1263"/>
      <c r="H41" s="185"/>
      <c r="I41" s="186">
        <f>I35</f>
        <v>2696.73</v>
      </c>
      <c r="J41" s="187" t="s">
        <v>35</v>
      </c>
      <c r="K41" s="184"/>
    </row>
    <row r="42" spans="1:12" x14ac:dyDescent="0.2">
      <c r="A42" s="135"/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2" x14ac:dyDescent="0.2">
      <c r="A43" s="135"/>
      <c r="B43" s="135"/>
      <c r="C43" s="135"/>
      <c r="D43" s="135"/>
      <c r="E43" s="135"/>
      <c r="F43" s="135"/>
      <c r="G43" s="135"/>
      <c r="H43" s="135"/>
      <c r="I43" s="135"/>
      <c r="J43" s="135"/>
    </row>
    <row r="45" spans="1:12" x14ac:dyDescent="0.2">
      <c r="B45" s="188" t="str">
        <f>Terrap.!B26</f>
        <v>Robson Darcio Sousa</v>
      </c>
    </row>
    <row r="46" spans="1:12" x14ac:dyDescent="0.2">
      <c r="B46" s="903" t="str">
        <f>Terrap.!B27</f>
        <v>ENGº CIVIL</v>
      </c>
    </row>
    <row r="47" spans="1:12" x14ac:dyDescent="0.2">
      <c r="B47" s="903" t="str">
        <f>Terrap.!B28</f>
        <v>Crea: 120.263.916-0</v>
      </c>
    </row>
  </sheetData>
  <mergeCells count="18">
    <mergeCell ref="K34:L34"/>
    <mergeCell ref="A40:G40"/>
    <mergeCell ref="A39:G39"/>
    <mergeCell ref="A7:J7"/>
    <mergeCell ref="A16:J16"/>
    <mergeCell ref="A1:J1"/>
    <mergeCell ref="A2:J2"/>
    <mergeCell ref="A41:G41"/>
    <mergeCell ref="A36:J36"/>
    <mergeCell ref="A37:J37"/>
    <mergeCell ref="A38:G38"/>
    <mergeCell ref="B6:D6"/>
    <mergeCell ref="F6:G6"/>
    <mergeCell ref="B3:H3"/>
    <mergeCell ref="I3:J6"/>
    <mergeCell ref="B4:H4"/>
    <mergeCell ref="B5:D5"/>
    <mergeCell ref="F5:H5"/>
  </mergeCells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P66"/>
  <sheetViews>
    <sheetView view="pageBreakPreview" topLeftCell="A2" zoomScaleNormal="85" zoomScaleSheetLayoutView="100" workbookViewId="0">
      <selection activeCell="G11" sqref="G11"/>
    </sheetView>
  </sheetViews>
  <sheetFormatPr defaultColWidth="9.140625" defaultRowHeight="12.75" x14ac:dyDescent="0.2"/>
  <cols>
    <col min="1" max="1" width="10.7109375" style="108" customWidth="1"/>
    <col min="2" max="2" width="66.7109375" style="108" customWidth="1"/>
    <col min="3" max="3" width="15.140625" style="108" bestFit="1" customWidth="1"/>
    <col min="4" max="4" width="30.7109375" style="231" customWidth="1"/>
    <col min="5" max="5" width="14.140625" style="254" customWidth="1"/>
    <col min="6" max="6" width="13.42578125" style="108" bestFit="1" customWidth="1"/>
    <col min="7" max="7" width="19.5703125" style="108" bestFit="1" customWidth="1"/>
    <col min="8" max="8" width="9.28515625" style="108" bestFit="1" customWidth="1"/>
    <col min="9" max="9" width="13.5703125" style="108" customWidth="1"/>
    <col min="10" max="10" width="15.140625" style="108" bestFit="1" customWidth="1"/>
    <col min="11" max="11" width="10.5703125" style="108" bestFit="1" customWidth="1"/>
    <col min="12" max="16384" width="9.140625" style="108"/>
  </cols>
  <sheetData>
    <row r="1" spans="1:16" s="245" customFormat="1" ht="18.75" x14ac:dyDescent="0.2">
      <c r="A1" s="1280" t="str">
        <f>Terrap.!A1</f>
        <v>ESTADO DE MATO GROSSO</v>
      </c>
      <c r="B1" s="1281"/>
      <c r="C1" s="1281"/>
      <c r="D1" s="1281"/>
      <c r="E1" s="1282"/>
      <c r="F1" s="20"/>
      <c r="G1" s="20"/>
      <c r="H1" s="20"/>
      <c r="I1" s="20"/>
      <c r="J1" s="20"/>
      <c r="K1" s="20"/>
    </row>
    <row r="2" spans="1:16" s="245" customFormat="1" ht="18.75" x14ac:dyDescent="0.2">
      <c r="A2" s="1283" t="str">
        <f>Terrap.!A2</f>
        <v xml:space="preserve">PREFEITURA MUNICIPAL DE BARRA DO BUGRES </v>
      </c>
      <c r="B2" s="1284"/>
      <c r="C2" s="1284"/>
      <c r="D2" s="1284"/>
      <c r="E2" s="1285"/>
      <c r="F2" s="21"/>
      <c r="G2" s="21"/>
      <c r="H2" s="21"/>
      <c r="I2" s="21"/>
      <c r="J2" s="21"/>
      <c r="K2" s="21"/>
      <c r="L2" s="232"/>
      <c r="M2" s="232"/>
      <c r="N2" s="232"/>
      <c r="O2" s="232"/>
    </row>
    <row r="3" spans="1:16" s="245" customFormat="1" ht="20.25" customHeight="1" x14ac:dyDescent="0.2">
      <c r="A3" s="412" t="s">
        <v>8</v>
      </c>
      <c r="B3" s="410" t="str">
        <f>Terrap.!B3</f>
        <v xml:space="preserve">PAVIMENTAÇÃO ASFALTICA E DRENAGEM DE AGUAS PLUVIAIS </v>
      </c>
      <c r="C3" s="410"/>
      <c r="D3" s="463" t="str">
        <f>Terrap.!H6</f>
        <v>TABELA:</v>
      </c>
      <c r="E3" s="258" t="str">
        <f>Terrap.!E6</f>
        <v>BDI:</v>
      </c>
      <c r="F3" s="5"/>
      <c r="G3" s="5"/>
      <c r="H3" s="5"/>
      <c r="I3" s="5"/>
      <c r="J3" s="5"/>
      <c r="K3" s="17"/>
      <c r="L3" s="7"/>
      <c r="M3" s="7"/>
      <c r="N3" s="7"/>
      <c r="O3" s="7"/>
    </row>
    <row r="4" spans="1:16" s="245" customFormat="1" ht="20.25" customHeight="1" x14ac:dyDescent="0.2">
      <c r="A4" s="412" t="s">
        <v>22</v>
      </c>
      <c r="B4" s="410" t="str">
        <f>Terrap.!B4</f>
        <v>DIVERSAS RUAS - PERIMETRO URBANO</v>
      </c>
      <c r="C4" s="463" t="s">
        <v>362</v>
      </c>
      <c r="D4" s="1057" t="str">
        <f>Terrap.!I3</f>
        <v>SINAPI - JULHO / 2020    DESONERADO                                                                                                                           SICRO 10/2019</v>
      </c>
      <c r="E4" s="1292">
        <f>Terrap.!F6</f>
        <v>0.25640000000000002</v>
      </c>
      <c r="F4" s="5"/>
      <c r="G4" s="1290"/>
      <c r="H4" s="1290"/>
      <c r="I4" s="1291"/>
      <c r="J4" s="1291"/>
      <c r="K4" s="18"/>
      <c r="L4" s="7"/>
      <c r="M4" s="1286"/>
      <c r="N4" s="1286"/>
      <c r="O4" s="1286"/>
      <c r="P4" s="1286"/>
    </row>
    <row r="5" spans="1:16" s="245" customFormat="1" ht="20.25" customHeight="1" x14ac:dyDescent="0.2">
      <c r="A5" s="413" t="s">
        <v>58</v>
      </c>
      <c r="B5" s="410" t="str">
        <f>Terrap.!B5</f>
        <v xml:space="preserve">PREFEITURA MUNICIPAL DE BARRA DO BUGRES </v>
      </c>
      <c r="C5" s="1294" t="str">
        <f>Terrap.!F5</f>
        <v>AGOSTO 2020</v>
      </c>
      <c r="D5" s="1057"/>
      <c r="E5" s="1292"/>
      <c r="F5" s="5"/>
      <c r="G5" s="1290"/>
      <c r="H5" s="1290"/>
      <c r="I5" s="1291"/>
      <c r="J5" s="1291"/>
      <c r="K5" s="18"/>
      <c r="L5" s="7"/>
      <c r="M5" s="1286"/>
      <c r="N5" s="1286"/>
      <c r="O5" s="1286"/>
      <c r="P5" s="1286"/>
    </row>
    <row r="6" spans="1:16" s="245" customFormat="1" ht="20.25" customHeight="1" thickBot="1" x14ac:dyDescent="0.25">
      <c r="A6" s="414" t="s">
        <v>43</v>
      </c>
      <c r="B6" s="411">
        <f>Terrap.!B6</f>
        <v>31131.72</v>
      </c>
      <c r="C6" s="1295"/>
      <c r="D6" s="1059"/>
      <c r="E6" s="1293"/>
      <c r="F6" s="5"/>
      <c r="G6" s="5"/>
      <c r="H6" s="5"/>
      <c r="I6" s="12"/>
      <c r="J6" s="12"/>
      <c r="K6" s="17"/>
      <c r="L6" s="7"/>
      <c r="M6" s="1286"/>
      <c r="N6" s="1286"/>
      <c r="O6" s="1286"/>
      <c r="P6" s="1286"/>
    </row>
    <row r="7" spans="1:16" s="245" customFormat="1" ht="27.75" thickBot="1" x14ac:dyDescent="0.25">
      <c r="A7" s="1287" t="s">
        <v>74</v>
      </c>
      <c r="B7" s="1288"/>
      <c r="C7" s="1288"/>
      <c r="D7" s="1288"/>
      <c r="E7" s="1289"/>
      <c r="F7" s="246"/>
      <c r="G7" s="246"/>
      <c r="H7" s="246"/>
      <c r="I7" s="246"/>
      <c r="J7" s="246"/>
      <c r="K7" s="246"/>
      <c r="L7" s="7"/>
    </row>
    <row r="8" spans="1:16" s="245" customFormat="1" ht="27" x14ac:dyDescent="0.2">
      <c r="A8" s="567" t="s">
        <v>0</v>
      </c>
      <c r="B8" s="568" t="s">
        <v>268</v>
      </c>
      <c r="C8" s="569" t="s">
        <v>269</v>
      </c>
      <c r="D8" s="569" t="s">
        <v>270</v>
      </c>
      <c r="E8" s="570" t="s">
        <v>246</v>
      </c>
      <c r="F8" s="246"/>
      <c r="G8" s="246"/>
      <c r="H8" s="246"/>
      <c r="I8" s="246"/>
      <c r="J8" s="246"/>
      <c r="K8" s="246"/>
      <c r="L8" s="7"/>
    </row>
    <row r="9" spans="1:16" s="245" customFormat="1" ht="20.25" customHeight="1" x14ac:dyDescent="0.2">
      <c r="A9" s="481">
        <f>Orçam.!A9</f>
        <v>1</v>
      </c>
      <c r="B9" s="498" t="s">
        <v>103</v>
      </c>
      <c r="C9" s="512"/>
      <c r="D9" s="512"/>
      <c r="E9" s="571"/>
      <c r="F9" s="246"/>
      <c r="G9" s="246"/>
      <c r="H9" s="246"/>
      <c r="I9" s="246"/>
      <c r="J9" s="246"/>
      <c r="K9" s="246"/>
      <c r="L9" s="7"/>
    </row>
    <row r="10" spans="1:16" s="245" customFormat="1" ht="30" x14ac:dyDescent="0.2">
      <c r="A10" s="380" t="str">
        <f>Orçam.!A10</f>
        <v>1.1</v>
      </c>
      <c r="B10" s="491" t="str">
        <f>Orçam.!D10</f>
        <v>PLACA DE OBRA EM CHAPA DE ACO GALVANIZADO (1,00 UNIDADE)</v>
      </c>
      <c r="C10" s="463" t="str">
        <f>Orçam.!E10</f>
        <v>M2</v>
      </c>
      <c r="D10" s="770" t="s">
        <v>776</v>
      </c>
      <c r="E10" s="572">
        <f>2.5*1.25</f>
        <v>3.13</v>
      </c>
      <c r="F10" s="246"/>
      <c r="G10" s="246"/>
      <c r="H10" s="246"/>
      <c r="I10" s="246"/>
      <c r="J10" s="246"/>
      <c r="K10" s="246"/>
      <c r="L10" s="7"/>
    </row>
    <row r="11" spans="1:16" s="245" customFormat="1" ht="45" x14ac:dyDescent="0.2">
      <c r="A11" s="670" t="str">
        <f>Orçam.!A11</f>
        <v>1.2</v>
      </c>
      <c r="B11" s="491" t="str">
        <f>Orçam.!D11</f>
        <v>EXECUÇÃO DE DEPÓSITO EM CANTEIRO DE OBRA EM CHAPA DE MADEIRA COMPENSAD M2 AS 547,08
A, NÃO INCLUSO MOBILIÁRIO. AF_04/2016</v>
      </c>
      <c r="C11" s="1010" t="str">
        <f>Orçam.!E11</f>
        <v>M²</v>
      </c>
      <c r="D11" s="770" t="s">
        <v>777</v>
      </c>
      <c r="E11" s="572">
        <f>4*5</f>
        <v>20</v>
      </c>
      <c r="F11" s="246"/>
      <c r="G11" s="246"/>
      <c r="H11" s="246"/>
      <c r="I11" s="246"/>
      <c r="J11" s="246"/>
      <c r="K11" s="246"/>
      <c r="L11" s="7"/>
    </row>
    <row r="12" spans="1:16" s="245" customFormat="1" ht="45" x14ac:dyDescent="0.2">
      <c r="A12" s="670" t="str">
        <f>Orçam.!A12</f>
        <v>1.3</v>
      </c>
      <c r="B12" s="491" t="str">
        <f>Orçam.!D12</f>
        <v>EXECUÇÃO DE SANITÁRIO E VESTIÁRIO EM CANTEIRO DE OBRA EM CHAPA DE MADE M2 AS 617,22
IRA COMPENSADA, NÃO INCLUSO MOBILIÁRIO. AF_02/2016</v>
      </c>
      <c r="C12" s="1010" t="str">
        <f>Orçam.!E12</f>
        <v>M²</v>
      </c>
      <c r="D12" s="770" t="s">
        <v>778</v>
      </c>
      <c r="E12" s="572">
        <v>15</v>
      </c>
      <c r="F12" s="246"/>
      <c r="G12" s="246"/>
      <c r="H12" s="246"/>
      <c r="I12" s="246"/>
      <c r="J12" s="246"/>
      <c r="K12" s="246"/>
      <c r="L12" s="7"/>
    </row>
    <row r="13" spans="1:16" s="245" customFormat="1" ht="27" x14ac:dyDescent="0.2">
      <c r="A13" s="670" t="str">
        <f>Orçam.!A13</f>
        <v>1.4</v>
      </c>
      <c r="B13" s="491" t="str">
        <f>Orçam.!D13</f>
        <v>MOBILIZAÇÃO E DESMOBILIZAÇÃO DE EQUIPAMENTOS</v>
      </c>
      <c r="C13" s="1010" t="str">
        <f>Orçam.!E13</f>
        <v>UND</v>
      </c>
      <c r="D13" s="770">
        <v>1</v>
      </c>
      <c r="E13" s="572">
        <v>1</v>
      </c>
      <c r="F13" s="246"/>
      <c r="G13" s="246"/>
      <c r="H13" s="246"/>
      <c r="I13" s="246"/>
      <c r="J13" s="246"/>
      <c r="K13" s="246"/>
      <c r="L13" s="7"/>
    </row>
    <row r="14" spans="1:16" s="245" customFormat="1" ht="27" x14ac:dyDescent="0.2">
      <c r="A14" s="670" t="str">
        <f>Orçam.!A14</f>
        <v>1.5</v>
      </c>
      <c r="B14" s="491" t="str">
        <f>Orçam.!D14</f>
        <v>ADMINISTRAÇÃO LOCAL DA OBRA</v>
      </c>
      <c r="C14" s="1010" t="str">
        <f>Orçam.!E14</f>
        <v>UND</v>
      </c>
      <c r="D14" s="770">
        <v>1</v>
      </c>
      <c r="E14" s="572">
        <v>1</v>
      </c>
      <c r="F14" s="246"/>
      <c r="G14" s="246"/>
      <c r="H14" s="246"/>
      <c r="I14" s="246"/>
      <c r="J14" s="246"/>
      <c r="K14" s="246"/>
      <c r="L14" s="7"/>
    </row>
    <row r="15" spans="1:16" s="245" customFormat="1" ht="20.25" customHeight="1" x14ac:dyDescent="0.2">
      <c r="A15" s="481">
        <f>Orçam.!A16</f>
        <v>2</v>
      </c>
      <c r="B15" s="498" t="s">
        <v>50</v>
      </c>
      <c r="C15" s="512"/>
      <c r="D15" s="512"/>
      <c r="E15" s="760"/>
      <c r="F15" s="246"/>
      <c r="G15" s="246"/>
      <c r="H15" s="246"/>
      <c r="I15" s="246"/>
      <c r="J15" s="246"/>
      <c r="K15" s="246"/>
      <c r="L15" s="7"/>
    </row>
    <row r="16" spans="1:16" s="245" customFormat="1" ht="15" x14ac:dyDescent="0.2">
      <c r="A16" s="493" t="str">
        <f>Orçam.!A17</f>
        <v>2.1</v>
      </c>
      <c r="B16" s="505" t="s">
        <v>132</v>
      </c>
      <c r="C16" s="501"/>
      <c r="D16" s="574"/>
      <c r="E16" s="761"/>
      <c r="F16" s="7"/>
    </row>
    <row r="17" spans="1:6" s="245" customFormat="1" ht="75" x14ac:dyDescent="0.2">
      <c r="A17" s="487" t="str">
        <f>Orçam.!A18</f>
        <v>2.1.1</v>
      </c>
      <c r="B17" s="510" t="str">
        <f>Orçam.!D18</f>
        <v>ESCAVAÇÃO MECANIZADA DE VALA COM PROF. ATÉ 1,5 M(MÉDIA ENTRE MONTANTE E JUSANTE/UMA COMPOSIÇÃO POR TRECHO), COM ESCAVADEIRA HIDRÁULICA (0,8M3/111 HP), LARG. DE 1,5M A 2,5 M, EM SOLO DE 1A CATEGORIA, LOCAIS COM BAIXO NÍVEL DE INTERFERÊNCIA. AF_01/2015</v>
      </c>
      <c r="C17" s="492" t="str">
        <f>Orçam.!E18</f>
        <v>M3</v>
      </c>
      <c r="D17" s="573" t="s">
        <v>143</v>
      </c>
      <c r="E17" s="762">
        <f>'M. Calc Dre'!K9</f>
        <v>567.02</v>
      </c>
      <c r="F17" s="247"/>
    </row>
    <row r="18" spans="1:6" s="245" customFormat="1" ht="90" x14ac:dyDescent="0.2">
      <c r="A18" s="487" t="str">
        <f>Orçam.!A19</f>
        <v>2.1.2</v>
      </c>
      <c r="B18" s="510" t="str">
        <f>Orçam.!D19</f>
        <v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v>
      </c>
      <c r="C18" s="492" t="str">
        <f>Orçam.!E19</f>
        <v>M3</v>
      </c>
      <c r="D18" s="573" t="s">
        <v>143</v>
      </c>
      <c r="E18" s="762">
        <f>'M. Calc Dre'!K23</f>
        <v>107.04</v>
      </c>
      <c r="F18" s="247"/>
    </row>
    <row r="19" spans="1:6" s="245" customFormat="1" ht="60" x14ac:dyDescent="0.2">
      <c r="A19" s="487" t="str">
        <f>Orçam.!A20</f>
        <v>2.1.3</v>
      </c>
      <c r="B19" s="510" t="str">
        <f>Orçam.!D20</f>
        <v>ESCORAMENTO DE VALA, TIPO DESCONTÍNUO, COM PROFUNDIDADE DE 0 A 1,5 M,LARGURA MAIOR OU IGUAL A 1,5 M E MENOR QUE 2,5 M, EM LOCAL COM NÍVEL BAIXO DE INTERFERÊNCIA. AF_06/2016</v>
      </c>
      <c r="C19" s="492" t="str">
        <f>Orçam.!E20</f>
        <v>M2</v>
      </c>
      <c r="D19" s="573" t="s">
        <v>143</v>
      </c>
      <c r="E19" s="762">
        <f>'M. Calc Dre'!L37</f>
        <v>88.71</v>
      </c>
      <c r="F19" s="247"/>
    </row>
    <row r="20" spans="1:6" s="245" customFormat="1" ht="60" x14ac:dyDescent="0.2">
      <c r="A20" s="487" t="str">
        <f>Orçam.!A21</f>
        <v>2.1.4</v>
      </c>
      <c r="B20" s="510" t="str">
        <f>Orçam.!D21</f>
        <v>LASTRO DE VALA COM PREPARO DE FUNDO, LARGURA MENOR QUE 1,5 M, COM CAMADA DE AREIA, LANÇAMENTO MANUAL, EM LOCAL COM NÍVEL BAIXO DE INTERFERÊNCIA. AF_06/2016</v>
      </c>
      <c r="C20" s="492" t="str">
        <f>Orçam.!E21</f>
        <v>M3</v>
      </c>
      <c r="D20" s="573" t="s">
        <v>143</v>
      </c>
      <c r="E20" s="762">
        <f>'M. Calc Dre'!K43</f>
        <v>35.020000000000003</v>
      </c>
      <c r="F20" s="247"/>
    </row>
    <row r="21" spans="1:6" s="245" customFormat="1" ht="90" x14ac:dyDescent="0.2">
      <c r="A21" s="487" t="str">
        <f>Orçam.!A22</f>
        <v>2.1.5</v>
      </c>
      <c r="B21" s="510" t="str">
        <f>Orçam.!D22</f>
        <v>REATERRO MECANIZADO DE VALA COM RETROESCAVADEIRA (CAPACIDADE DA CAÇAMBA DA RETRO: 0,26 M³ / POTÊNCIA: 88 HP), LARGURA DE 0,8 A 1,5 M, PROFUNDIDADE ATÉ 1,5 M, COM SOLO (SEM SUBSTITUIÇÃO) DE 1ª CATEGORIA EM LOCAIS COM BAIXO NÍVEL DE INTERFERÊNCIA. AF_04/2016</v>
      </c>
      <c r="C21" s="492" t="str">
        <f>Orçam.!E22</f>
        <v>M3</v>
      </c>
      <c r="D21" s="573" t="s">
        <v>143</v>
      </c>
      <c r="E21" s="762">
        <f>'M. Calc Dre'!K57</f>
        <v>466.4</v>
      </c>
      <c r="F21" s="247"/>
    </row>
    <row r="22" spans="1:6" s="245" customFormat="1" ht="90" x14ac:dyDescent="0.2">
      <c r="A22" s="487" t="str">
        <f>Orçam.!A23</f>
        <v>2.1.6</v>
      </c>
      <c r="B22" s="510" t="str">
        <f>Orçam.!D23</f>
        <v>REATERRO MECANIZADO DE VALA COM RETROESCAVADEIRA (CAPACIDADE DA CAÇAMBA DA RETRO: 0,26 M³ / POTÊNCIA: 88 HP), LARGURA DE 0,8 A 1,5 M, PROFUNDIDADE DE 1,5 A 3,0 M, COM SOLO (SEM SUBSTITUIÇÃO) DE 1ª CATEGORIA EM LOCAIS COM BAIXO NÍVEL DE INTERFERÊNCIA. AF_04/2016</v>
      </c>
      <c r="C22" s="492" t="str">
        <f>Orçam.!E23</f>
        <v>M3</v>
      </c>
      <c r="D22" s="573" t="s">
        <v>143</v>
      </c>
      <c r="E22" s="762">
        <f>'M. Calc Dre'!K74</f>
        <v>103.64</v>
      </c>
      <c r="F22" s="247"/>
    </row>
    <row r="23" spans="1:6" s="245" customFormat="1" ht="15" x14ac:dyDescent="0.2">
      <c r="A23" s="493" t="str">
        <f>Orçam.!A25</f>
        <v>2.2</v>
      </c>
      <c r="B23" s="511" t="s">
        <v>133</v>
      </c>
      <c r="C23" s="501"/>
      <c r="D23" s="574"/>
      <c r="E23" s="761"/>
      <c r="F23" s="247"/>
    </row>
    <row r="24" spans="1:6" s="245" customFormat="1" ht="60" x14ac:dyDescent="0.2">
      <c r="A24" s="487" t="str">
        <f>Orçam.!A26</f>
        <v>2.2.1</v>
      </c>
      <c r="B24" s="510" t="str">
        <f>Orçam.!D26</f>
        <v>TUBO DE CONCRETO PARA REDES COLETORAS DE ÁGUAS PLUVIAIS, DIÂMETRO DE 400 MM, JUNTA RÍGIDA, INSTALADO EM LOCAL COM BAIXO NÍVEL DE INTERFERÊNCIAS - FORNECIMENTO E ASSENTAMENTO. AF_12/2015</v>
      </c>
      <c r="C24" s="492" t="str">
        <f>Orçam.!E26</f>
        <v>M</v>
      </c>
      <c r="D24" s="573" t="s">
        <v>143</v>
      </c>
      <c r="E24" s="762">
        <f>'Ruas Ben'!C16</f>
        <v>60</v>
      </c>
      <c r="F24" s="247"/>
    </row>
    <row r="25" spans="1:6" s="245" customFormat="1" ht="60" x14ac:dyDescent="0.2">
      <c r="A25" s="487" t="str">
        <f>Orçam.!A27</f>
        <v>2.2.2</v>
      </c>
      <c r="B25" s="510" t="str">
        <f>Orçam.!D27</f>
        <v>TUBO DE CONCRETO PARA REDES COLETORAS DE ÁGUAS PLUVIAIS, DIÂMETRO DE 600 MM, JUNTA RÍGIDA, INSTALADO EM LOCAL COM BAIXO NÍVEL DE INTERFERÊNCIAS - FORNECIMENTO E ASSENTAMENTO. AF_12/2015</v>
      </c>
      <c r="C25" s="492" t="str">
        <f>Orçam.!E27</f>
        <v>M</v>
      </c>
      <c r="D25" s="573" t="s">
        <v>143</v>
      </c>
      <c r="E25" s="762">
        <f>'Ruas Ben'!D16</f>
        <v>75</v>
      </c>
      <c r="F25" s="247"/>
    </row>
    <row r="26" spans="1:6" s="245" customFormat="1" ht="60" x14ac:dyDescent="0.2">
      <c r="A26" s="487" t="str">
        <f>Orçam.!A28</f>
        <v>2.2.3</v>
      </c>
      <c r="B26" s="510" t="str">
        <f>Orçam.!D28</f>
        <v>TUBO DE CONCRETO PARA REDES COLETORAS DE ÁGUAS PLUVIAIS, DIÂMETRO DE 800 MM, JUNTA RÍGIDA, INSTALADO EM LOCAL COM BAIXO NÍVEL DE INTERFERÊNCIAS - FORNECIMENTO E ASSENTAMENTO. AF_12/2015</v>
      </c>
      <c r="C26" s="492" t="str">
        <f>Orçam.!E28</f>
        <v>M</v>
      </c>
      <c r="D26" s="573" t="s">
        <v>143</v>
      </c>
      <c r="E26" s="762">
        <f>'Ruas Ben'!E16</f>
        <v>143</v>
      </c>
      <c r="F26" s="247"/>
    </row>
    <row r="27" spans="1:6" s="245" customFormat="1" ht="15" x14ac:dyDescent="0.2">
      <c r="A27" s="493" t="str">
        <f>Orçam.!A30</f>
        <v>2.3</v>
      </c>
      <c r="B27" s="511" t="s">
        <v>51</v>
      </c>
      <c r="C27" s="501"/>
      <c r="D27" s="574"/>
      <c r="E27" s="761"/>
      <c r="F27" s="7"/>
    </row>
    <row r="28" spans="1:6" s="245" customFormat="1" ht="30" x14ac:dyDescent="0.2">
      <c r="A28" s="487" t="str">
        <f>Orçam.!A31</f>
        <v>2.3.1</v>
      </c>
      <c r="B28" s="510" t="str">
        <f>Orçam.!D31</f>
        <v>POÇO DE VISITA - PVI 02 (600 mm)- AREIA E BRITA COMERCIAIS</v>
      </c>
      <c r="C28" s="492" t="str">
        <f>Orçam.!E31</f>
        <v>UND</v>
      </c>
      <c r="D28" s="573" t="s">
        <v>143</v>
      </c>
      <c r="E28" s="762">
        <f>'Ruas Ben'!K16</f>
        <v>1</v>
      </c>
      <c r="F28" s="7"/>
    </row>
    <row r="29" spans="1:6" s="245" customFormat="1" ht="30" x14ac:dyDescent="0.2">
      <c r="A29" s="487" t="str">
        <f>Orçam.!A32</f>
        <v>2.3.2</v>
      </c>
      <c r="B29" s="510" t="str">
        <f>Orçam.!D32</f>
        <v>POÇO DE VISITA - PVI 03 (800 mm) - AREIA E BRITA COMERCIAIS</v>
      </c>
      <c r="C29" s="492" t="str">
        <f>Orçam.!E32</f>
        <v>UND</v>
      </c>
      <c r="D29" s="573" t="s">
        <v>146</v>
      </c>
      <c r="E29" s="762">
        <f>'Ruas Ben'!L16</f>
        <v>2</v>
      </c>
      <c r="F29" s="7"/>
    </row>
    <row r="30" spans="1:6" s="245" customFormat="1" ht="45" x14ac:dyDescent="0.2">
      <c r="A30" s="487" t="str">
        <f>Orçam.!A33</f>
        <v>2.3.3</v>
      </c>
      <c r="B30" s="510" t="str">
        <f>Orçam.!D33</f>
        <v>CHAMINÉ CIRCULAR PARA POÇO DE VISITA PARA ESGOTO, EM ALVENARIA COM TIJOLOS CERÂMICOS MACIÇOS, DIÂMETRO INTERNO = 0,6 M. AF_05/2018</v>
      </c>
      <c r="C30" s="492" t="str">
        <f>Orçam.!E33</f>
        <v>M</v>
      </c>
      <c r="D30" s="573" t="s">
        <v>146</v>
      </c>
      <c r="E30" s="762">
        <f>SUM(E28:E29)</f>
        <v>3</v>
      </c>
      <c r="F30" s="7"/>
    </row>
    <row r="31" spans="1:6" s="245" customFormat="1" ht="60" x14ac:dyDescent="0.2">
      <c r="A31" s="487" t="str">
        <f>Orçam.!A34</f>
        <v>2.3.4</v>
      </c>
      <c r="B31" s="510" t="str">
        <f>Orçam.!D34</f>
        <v>TAMPAO FOFO ARTICULADO, CLASSE B125 CARGA MAX 12,5 T, REDONDO TAMPA 600 MM, REDE PLUVIAL/ESGOTO, P = CHAMINE CX AREIA / POCO VISITA ASSENTADO COM ARG CIM/AREIA 1:4, FORNECIMENTO E ASSENTAMENTO</v>
      </c>
      <c r="C31" s="492" t="str">
        <f>Orçam.!E34</f>
        <v>UND</v>
      </c>
      <c r="D31" s="573" t="s">
        <v>146</v>
      </c>
      <c r="E31" s="762">
        <f>E30</f>
        <v>3</v>
      </c>
      <c r="F31" s="7"/>
    </row>
    <row r="32" spans="1:6" s="245" customFormat="1" ht="45" x14ac:dyDescent="0.2">
      <c r="A32" s="487" t="str">
        <f>Orçam.!A35</f>
        <v>2.3.5</v>
      </c>
      <c r="B32" s="510" t="str">
        <f>Orçam.!D35</f>
        <v>BOCA DE LOBO EM ALVENARIA TIJOLO MACICO, REVESTIDA C/ ARGAMASSA DE CIMENTO E AREIA 1:3, SOBRE LASTRO DE CONCRETO 10CM E TAMPA DE CONCRETO ARMADO</v>
      </c>
      <c r="C32" s="492" t="str">
        <f>Orçam.!E35</f>
        <v>UND</v>
      </c>
      <c r="D32" s="573" t="s">
        <v>146</v>
      </c>
      <c r="E32" s="762">
        <f>'Ruas Ben'!I16</f>
        <v>2</v>
      </c>
      <c r="F32" s="7"/>
    </row>
    <row r="33" spans="1:12" s="245" customFormat="1" ht="30" x14ac:dyDescent="0.2">
      <c r="A33" s="487" t="str">
        <f>Orçam.!A36</f>
        <v>2.3.6</v>
      </c>
      <c r="B33" s="510" t="str">
        <f>Orçam.!D36</f>
        <v>BOCA DE LOBO DUPLA - GRELHA DE CONCRETO - BLDG 01 - AREIA E BRITA COMERCIAIS</v>
      </c>
      <c r="C33" s="492" t="str">
        <f>Orçam.!E36</f>
        <v>UND</v>
      </c>
      <c r="D33" s="573" t="s">
        <v>146</v>
      </c>
      <c r="E33" s="762">
        <f>'Ruas Ben'!J16</f>
        <v>4</v>
      </c>
      <c r="F33" s="7"/>
    </row>
    <row r="34" spans="1:12" s="245" customFormat="1" ht="15" x14ac:dyDescent="0.2">
      <c r="A34" s="487"/>
      <c r="B34" s="510"/>
      <c r="C34" s="492"/>
      <c r="D34" s="573"/>
      <c r="E34" s="762"/>
      <c r="F34" s="7"/>
    </row>
    <row r="35" spans="1:12" s="249" customFormat="1" ht="14.25" x14ac:dyDescent="0.2">
      <c r="A35" s="493" t="str">
        <f>Orçam.!A38</f>
        <v>2.4</v>
      </c>
      <c r="B35" s="511" t="s">
        <v>52</v>
      </c>
      <c r="C35" s="501"/>
      <c r="D35" s="501"/>
      <c r="E35" s="763"/>
      <c r="F35" s="248"/>
    </row>
    <row r="36" spans="1:12" s="245" customFormat="1" ht="15" x14ac:dyDescent="0.2">
      <c r="A36" s="487" t="s">
        <v>150</v>
      </c>
      <c r="B36" s="510" t="str">
        <f>Orçam.!D39</f>
        <v>SINALIZACAO DE TRANSITO - NOTURNA</v>
      </c>
      <c r="C36" s="492" t="str">
        <f>Orçam.!E39</f>
        <v>M</v>
      </c>
      <c r="D36" s="573" t="s">
        <v>143</v>
      </c>
      <c r="E36" s="762">
        <f>'M. Calc Dre'!K91</f>
        <v>69.5</v>
      </c>
      <c r="F36" s="7"/>
    </row>
    <row r="37" spans="1:12" s="245" customFormat="1" ht="15" x14ac:dyDescent="0.2">
      <c r="A37" s="481">
        <f>Orçam.!A41</f>
        <v>3</v>
      </c>
      <c r="B37" s="498" t="s">
        <v>688</v>
      </c>
      <c r="C37" s="512"/>
      <c r="D37" s="512"/>
      <c r="E37" s="760"/>
      <c r="F37" s="7"/>
    </row>
    <row r="38" spans="1:12" s="245" customFormat="1" ht="15" x14ac:dyDescent="0.2">
      <c r="A38" s="493" t="str">
        <f>Orçam.!A42</f>
        <v>3.1</v>
      </c>
      <c r="B38" s="516" t="s">
        <v>134</v>
      </c>
      <c r="C38" s="516"/>
      <c r="D38" s="494"/>
      <c r="E38" s="764"/>
      <c r="F38" s="7"/>
    </row>
    <row r="39" spans="1:12" s="245" customFormat="1" ht="45.75" customHeight="1" x14ac:dyDescent="0.2">
      <c r="A39" s="487" t="str">
        <f>Orçam.!A43</f>
        <v>3.1.1</v>
      </c>
      <c r="B39" s="520" t="str">
        <f>Orçam.!D43</f>
        <v>ESCAVACAO MECANICA DE MATERIAL 1A. CATEGORIA, PROVENIENTE DE CORTE DE SUBLEITO (C/TRATOR ESTEIRAS 160HP)</v>
      </c>
      <c r="C39" s="576" t="str">
        <f>Orçam.!E43</f>
        <v>M3</v>
      </c>
      <c r="D39" s="577" t="s">
        <v>504</v>
      </c>
      <c r="E39" s="765">
        <f>Cub!H32</f>
        <v>10813.88</v>
      </c>
      <c r="F39" s="250"/>
      <c r="G39" s="251"/>
      <c r="H39" s="251"/>
    </row>
    <row r="40" spans="1:12" s="245" customFormat="1" ht="35.25" customHeight="1" x14ac:dyDescent="0.2">
      <c r="A40" s="487" t="str">
        <f>Orçam.!A44</f>
        <v>3.1.2</v>
      </c>
      <c r="B40" s="520" t="str">
        <f>Orçam.!D44</f>
        <v>TRANSPORTE COM CAMINHÃO BASCULANTE 6 M3 EM RODOVIA COM REVESTIMENTO PRIMÁRIO - BOTA FORA(2,0KM)</v>
      </c>
      <c r="C40" s="576" t="str">
        <f>Orçam.!E44</f>
        <v>M3xKM</v>
      </c>
      <c r="D40" s="577" t="s">
        <v>505</v>
      </c>
      <c r="E40" s="765">
        <f>Cub!I39</f>
        <v>21627.77</v>
      </c>
      <c r="F40" s="250"/>
      <c r="G40" s="251"/>
      <c r="H40" s="251"/>
    </row>
    <row r="41" spans="1:12" s="245" customFormat="1" ht="15" x14ac:dyDescent="0.2">
      <c r="A41" s="493" t="str">
        <f>Orçam.!A46</f>
        <v>3.2</v>
      </c>
      <c r="B41" s="516" t="s">
        <v>42</v>
      </c>
      <c r="C41" s="516"/>
      <c r="D41" s="494"/>
      <c r="E41" s="764"/>
      <c r="F41" s="7"/>
    </row>
    <row r="42" spans="1:12" s="245" customFormat="1" ht="30" x14ac:dyDescent="0.2">
      <c r="A42" s="487" t="str">
        <f>Orçam.!A47</f>
        <v>3.2.1</v>
      </c>
      <c r="B42" s="491" t="str">
        <f>Orçam.!D47</f>
        <v>REGULARIZACAO E COMPACTACAO DE SUBLEITO ATE 20 CM DE ESPESSURA</v>
      </c>
      <c r="C42" s="462" t="str">
        <f>Orçam.!E47</f>
        <v>m²</v>
      </c>
      <c r="D42" s="575" t="s">
        <v>227</v>
      </c>
      <c r="E42" s="765">
        <f>Terrap.!C24</f>
        <v>35544.5</v>
      </c>
      <c r="F42" s="7"/>
    </row>
    <row r="43" spans="1:12" s="245" customFormat="1" ht="45" x14ac:dyDescent="0.2">
      <c r="A43" s="487" t="str">
        <f>Orçam.!A48</f>
        <v>3.2.2</v>
      </c>
      <c r="B43" s="491" t="str">
        <f>Orçam.!D48</f>
        <v>TRANSPORTE COM CAMINHÃO BASCULANTE DE 10 M³, EM VIA URBANA EM LEITO NATURAL (UNIDADE: TXKM). AF_07/2020</v>
      </c>
      <c r="C43" s="890" t="str">
        <f>Orçam.!E48</f>
        <v>M3xKM</v>
      </c>
      <c r="D43" s="577" t="s">
        <v>658</v>
      </c>
      <c r="E43" s="765">
        <f>'BASE E SUB'!O23*1.2</f>
        <v>83174.210000000006</v>
      </c>
      <c r="F43" s="7"/>
      <c r="G43" s="260"/>
    </row>
    <row r="44" spans="1:12" s="245" customFormat="1" ht="45" x14ac:dyDescent="0.2">
      <c r="A44" s="487" t="s">
        <v>153</v>
      </c>
      <c r="B44" s="520" t="s">
        <v>736</v>
      </c>
      <c r="C44" s="1006" t="str">
        <f>Orçam.!E49</f>
        <v>M3xKM</v>
      </c>
      <c r="D44" s="577" t="s">
        <v>658</v>
      </c>
      <c r="E44" s="765">
        <f>'BASE E SUB'!P23*1.2</f>
        <v>348052.08</v>
      </c>
      <c r="F44" s="7"/>
      <c r="G44" s="260"/>
    </row>
    <row r="45" spans="1:12" s="245" customFormat="1" ht="45" x14ac:dyDescent="0.2">
      <c r="A45" s="487" t="str">
        <f>Orçam.!A50</f>
        <v>3.2.4</v>
      </c>
      <c r="B45" s="520" t="str">
        <f>Orçam.!D50</f>
        <v>EXECUÇÃO E COMPACTAÇÃO DE BASE COM SOLO ESTABILIZADO GRA NULOMETRICAMENTE - EXCLUSIVE ESCAVAÇÃO, CARGA E TRANSPORTE E SOLO. AF_09/2017</v>
      </c>
      <c r="C45" s="519" t="str">
        <f>Orçam.!E50</f>
        <v>m³</v>
      </c>
      <c r="D45" s="577" t="s">
        <v>336</v>
      </c>
      <c r="E45" s="766">
        <f>'BASE E SUB'!J23</f>
        <v>5331.68</v>
      </c>
      <c r="F45" s="7"/>
    </row>
    <row r="46" spans="1:12" s="245" customFormat="1" ht="45" x14ac:dyDescent="0.2">
      <c r="A46" s="487" t="str">
        <f>Orçam.!A51</f>
        <v>3.2.5</v>
      </c>
      <c r="B46" s="520" t="str">
        <f>Orçam.!D51</f>
        <v>EXECUÇÃO E COMPACTAÇÃO DE SUB BASE COM SOLO ESTABILIZADO GRA NULOMETRICAMENTE - EXCLUSIVE ESCAVAÇÃO, CARGA E TRANSPORTE E SOLO. AF_09/2017</v>
      </c>
      <c r="C46" s="519" t="str">
        <f>Orçam.!E51</f>
        <v>m³</v>
      </c>
      <c r="D46" s="577" t="s">
        <v>336</v>
      </c>
      <c r="E46" s="766">
        <f>'BASE E SUB'!K23</f>
        <v>5331.68</v>
      </c>
      <c r="F46" s="7"/>
    </row>
    <row r="47" spans="1:12" s="245" customFormat="1" ht="30" x14ac:dyDescent="0.2">
      <c r="A47" s="487" t="str">
        <f>Orçam.!A52</f>
        <v>3.2.6</v>
      </c>
      <c r="B47" s="520" t="str">
        <f>Orçam.!D52</f>
        <v>IMPRIMACAO DE BASE DE PAVIMENTACAO COM EMULSAO CM-30</v>
      </c>
      <c r="C47" s="519" t="str">
        <f>Orçam.!E52</f>
        <v>M2</v>
      </c>
      <c r="D47" s="577" t="s">
        <v>214</v>
      </c>
      <c r="E47" s="766">
        <f>Pavim.!C24</f>
        <v>31131.72</v>
      </c>
      <c r="F47" s="7"/>
    </row>
    <row r="48" spans="1:12" s="245" customFormat="1" ht="45" x14ac:dyDescent="0.2">
      <c r="A48" s="487" t="str">
        <f>Orçam.!A53</f>
        <v>3.2.7</v>
      </c>
      <c r="B48" s="520" t="str">
        <f>Orçam.!D53</f>
        <v>EXECUÇÃO DE PAVIMENTO COM APLICAÇÃO DE CONCRETO ASFÁLTICO, CAMADA DE ROLAMENTO - EXCLUSIVE CARGA E TRANSPORTE. AF_11/2019</v>
      </c>
      <c r="C48" s="519" t="str">
        <f>Orçam.!E53</f>
        <v>M³</v>
      </c>
      <c r="D48" s="577" t="s">
        <v>214</v>
      </c>
      <c r="E48" s="766">
        <f>E47*0.03</f>
        <v>933.95</v>
      </c>
      <c r="F48" s="7"/>
      <c r="K48" s="252"/>
      <c r="L48" s="252"/>
    </row>
    <row r="49" spans="1:13" s="245" customFormat="1" ht="30" x14ac:dyDescent="0.2">
      <c r="A49" s="487" t="str">
        <f>Orçam.!A54</f>
        <v>3.2.8</v>
      </c>
      <c r="B49" s="491" t="str">
        <f>Orçam.!D54</f>
        <v>EXECUÇÃO DE PINTURA DE LIGAÇÃO COM EMULSÃO ASFÁLTICA RR-2C. AF_11/2019</v>
      </c>
      <c r="C49" s="462" t="str">
        <f>Orçam.!E54</f>
        <v>M³</v>
      </c>
      <c r="D49" s="577" t="s">
        <v>229</v>
      </c>
      <c r="E49" s="766">
        <f>E47</f>
        <v>31131.72</v>
      </c>
      <c r="F49" s="7"/>
      <c r="K49" s="252"/>
      <c r="L49" s="252"/>
    </row>
    <row r="50" spans="1:13" s="245" customFormat="1" ht="60" x14ac:dyDescent="0.2">
      <c r="A50" s="487" t="str">
        <f>Orçam.!A55</f>
        <v>3.2.9</v>
      </c>
      <c r="B50" s="491" t="str">
        <f>Orçam.!D55</f>
        <v>TRANSPORTE DE MATERIAL ASFALTICO, COM CAMINHÃO COM CAPACIDADE DE 30000L EM RODOVIA PAVIMENTADA PARA DISTÂNCIAS MÉDIAS DE TRANSPORTE SUPERIORES A 100 KM. AF_02/2016 - CUIABA BARRA DO BUGRES</v>
      </c>
      <c r="C50" s="975" t="str">
        <f>Orçam.!E55</f>
        <v>txkm</v>
      </c>
      <c r="D50" s="577" t="s">
        <v>229</v>
      </c>
      <c r="E50" s="766">
        <f>'MAT BETUMINOSO'!J23</f>
        <v>40905</v>
      </c>
      <c r="F50" s="7"/>
      <c r="K50" s="252"/>
      <c r="L50" s="252"/>
    </row>
    <row r="51" spans="1:13" s="245" customFormat="1" ht="30" x14ac:dyDescent="0.2">
      <c r="A51" s="487" t="str">
        <f>Orçam.!A56</f>
        <v>3.2.10</v>
      </c>
      <c r="B51" s="491" t="str">
        <f>Orçam.!D56</f>
        <v>TRANSPORTE COMERCIAL DE BRITA  76 KM - JAZIDA A BARRA DO BUGRES</v>
      </c>
      <c r="C51" s="462" t="str">
        <f>Orçam.!E56</f>
        <v>M3XKM</v>
      </c>
      <c r="D51" s="577" t="s">
        <v>228</v>
      </c>
      <c r="E51" s="765">
        <f>'MAT. PETREO'!N23</f>
        <v>78077.84</v>
      </c>
      <c r="F51" s="7"/>
      <c r="K51" s="253"/>
      <c r="L51" s="252"/>
    </row>
    <row r="52" spans="1:13" s="245" customFormat="1" ht="30" x14ac:dyDescent="0.2">
      <c r="A52" s="487" t="str">
        <f>Orçam.!A57</f>
        <v>3.2.11</v>
      </c>
      <c r="B52" s="491" t="str">
        <f>Orçam.!D57</f>
        <v>TRANSPORTE COMERCIAL DE AREIA  2,0 KM</v>
      </c>
      <c r="C52" s="975" t="str">
        <f>Orçam.!E57</f>
        <v>M3XKM</v>
      </c>
      <c r="D52" s="577" t="s">
        <v>228</v>
      </c>
      <c r="E52" s="765">
        <f>'MAT. PETREO'!L23</f>
        <v>747.18</v>
      </c>
      <c r="F52" s="7"/>
      <c r="K52" s="253"/>
      <c r="L52" s="252"/>
    </row>
    <row r="53" spans="1:13" s="245" customFormat="1" ht="45" x14ac:dyDescent="0.2">
      <c r="A53" s="487" t="str">
        <f>Orçam.!A58</f>
        <v>3.2.12</v>
      </c>
      <c r="B53" s="491" t="str">
        <f>Orçam.!D58</f>
        <v>TRANSPORTE COM CAMINHÃO BASCULANTE DE 10 M3, EM VIA URBANA PAVIMENTADA, DMT ACIMA DE 30 KM (UNIDADE: TXKM). AF_04/2016 (MASSA ASFALTICA)</v>
      </c>
      <c r="C53" s="977" t="str">
        <f>Orçam.!E58</f>
        <v>txkm</v>
      </c>
      <c r="D53" s="577" t="s">
        <v>693</v>
      </c>
      <c r="E53" s="765">
        <f>E48*2.4*10</f>
        <v>22414.799999999999</v>
      </c>
      <c r="F53" s="7"/>
      <c r="K53" s="253"/>
      <c r="L53" s="252"/>
    </row>
    <row r="54" spans="1:13" s="245" customFormat="1" ht="15" x14ac:dyDescent="0.2">
      <c r="A54" s="493" t="str">
        <f>Orçam.!A60</f>
        <v>3.3</v>
      </c>
      <c r="B54" s="511" t="s">
        <v>48</v>
      </c>
      <c r="C54" s="501"/>
      <c r="D54" s="501"/>
      <c r="E54" s="761"/>
      <c r="F54" s="7"/>
    </row>
    <row r="55" spans="1:13" s="245" customFormat="1" ht="60" x14ac:dyDescent="0.2">
      <c r="A55" s="487" t="str">
        <f>Orçam.!A61</f>
        <v>3.3.1</v>
      </c>
      <c r="B55" s="510" t="str">
        <f>Orçam.!D61</f>
        <v>GUIA (MEIO-FIO) E SARJETA CONJUGADOS DE CONCRETO, MOLDADA IN LOCO EM TRECHO RETO COM EXTRUSORA, 45 CM BASE (15 CM BASE DA GUIA + 30 CM BASE DA SARJETA) X 22 CM ALTURA. AF_06/2016</v>
      </c>
      <c r="C55" s="492" t="str">
        <f>Orçam.!E61</f>
        <v>m</v>
      </c>
      <c r="D55" s="573" t="s">
        <v>534</v>
      </c>
      <c r="E55" s="767">
        <f>'MF e Sarj.'!C24</f>
        <v>8879.56</v>
      </c>
      <c r="F55" s="7"/>
      <c r="K55" s="252"/>
      <c r="L55" s="252"/>
      <c r="M55" s="252"/>
    </row>
    <row r="56" spans="1:13" s="245" customFormat="1" ht="60" x14ac:dyDescent="0.2">
      <c r="A56" s="487" t="str">
        <f>Orçam.!A62</f>
        <v>3.3.2</v>
      </c>
      <c r="B56" s="510" t="str">
        <f>Orçam.!D62</f>
        <v>GUIA (MEIO-FIO) E SARJETA CONJUGADOS DE CONCRETO, MOLDADA IN LOCO EM TRECHO CURVO COM EXTRUSORA, 45 CM BASE (15 CM BASE DA GUIA + 30 CM BASE DA SARJETA) X 22 CM ALTURA. AF_06/2016</v>
      </c>
      <c r="C56" s="492" t="str">
        <f>Orçam.!E62</f>
        <v>m</v>
      </c>
      <c r="D56" s="573" t="s">
        <v>533</v>
      </c>
      <c r="E56" s="767">
        <f>'MF e Sarj.'!C52</f>
        <v>320.33</v>
      </c>
      <c r="F56" s="7"/>
      <c r="K56" s="252"/>
      <c r="L56" s="252"/>
      <c r="M56" s="252"/>
    </row>
    <row r="57" spans="1:13" s="245" customFormat="1" ht="45" x14ac:dyDescent="0.2">
      <c r="A57" s="487" t="str">
        <f>Orçam.!A63</f>
        <v>3.3.3</v>
      </c>
      <c r="B57" s="510" t="str">
        <f>Orçam.!D63</f>
        <v>PREPARO DE FUNDO DE VALA COM LARGURA MENOR QUE 1,5 M, EM LOCAL COM NÍVEL ALTO DE INTERFERÊNCIA. AF_06/2016</v>
      </c>
      <c r="C57" s="492" t="str">
        <f>Orçam.!E63</f>
        <v>m²</v>
      </c>
      <c r="D57" s="573" t="s">
        <v>408</v>
      </c>
      <c r="E57" s="767" t="e">
        <f>CALÇADA!J48</f>
        <v>#REF!</v>
      </c>
      <c r="F57" s="7"/>
      <c r="K57" s="252"/>
      <c r="L57" s="252"/>
      <c r="M57" s="252"/>
    </row>
    <row r="58" spans="1:13" s="245" customFormat="1" ht="15" x14ac:dyDescent="0.2">
      <c r="A58" s="493" t="str">
        <f>Orçam.!A65</f>
        <v>3.4</v>
      </c>
      <c r="B58" s="516" t="s">
        <v>135</v>
      </c>
      <c r="C58" s="516"/>
      <c r="D58" s="494"/>
      <c r="E58" s="764"/>
      <c r="F58" s="7"/>
    </row>
    <row r="59" spans="1:13" s="245" customFormat="1" ht="30" x14ac:dyDescent="0.2">
      <c r="A59" s="487" t="str">
        <f>Orçam.!A66</f>
        <v>3.4.1</v>
      </c>
      <c r="B59" s="510" t="str">
        <f>Orçam.!D66</f>
        <v>CONFECÇÃO DE SUPORTE E TRAVESSA PARA PLACA DE SINALIZAÇÃO</v>
      </c>
      <c r="C59" s="492" t="str">
        <f>Orçam.!E66</f>
        <v>UND</v>
      </c>
      <c r="D59" s="578" t="s">
        <v>145</v>
      </c>
      <c r="E59" s="768">
        <f>Sinal.!I40</f>
        <v>149</v>
      </c>
      <c r="F59" s="7"/>
      <c r="K59" s="253"/>
    </row>
    <row r="60" spans="1:13" s="245" customFormat="1" ht="30" x14ac:dyDescent="0.2">
      <c r="A60" s="487" t="str">
        <f>Orçam.!A67</f>
        <v>3.4.2</v>
      </c>
      <c r="B60" s="510" t="str">
        <f>Orçam.!D67</f>
        <v>PLACA DE SINALIZACAO EM CHAPA DE ACO NUM 16 COM PINTURA REFLETIVA - FORNECIMENTO E INSTALAÇÃO</v>
      </c>
      <c r="C60" s="492" t="str">
        <f>Orçam.!E67</f>
        <v>M2</v>
      </c>
      <c r="D60" s="578" t="s">
        <v>145</v>
      </c>
      <c r="E60" s="768">
        <f>Sinal.!I39</f>
        <v>26.3</v>
      </c>
      <c r="F60" s="7"/>
      <c r="K60" s="253"/>
    </row>
    <row r="61" spans="1:13" s="245" customFormat="1" ht="30" x14ac:dyDescent="0.2">
      <c r="A61" s="487" t="str">
        <f>Orçam.!A68</f>
        <v>3.4.3</v>
      </c>
      <c r="B61" s="510" t="str">
        <f>Orçam.!D68</f>
        <v>PLACA ESMALTADA PARA IDENTIFICAÇÃO NR DE RUA, DIMENSÕES 45X25CM</v>
      </c>
      <c r="C61" s="492" t="str">
        <f>Orçam.!E68</f>
        <v>UND</v>
      </c>
      <c r="D61" s="578" t="s">
        <v>145</v>
      </c>
      <c r="E61" s="768">
        <f>Sinal.!I38</f>
        <v>39</v>
      </c>
      <c r="F61" s="7"/>
    </row>
    <row r="62" spans="1:13" s="245" customFormat="1" ht="30" x14ac:dyDescent="0.2">
      <c r="A62" s="487" t="str">
        <f>Orçam.!A69</f>
        <v>3.4.4</v>
      </c>
      <c r="B62" s="510" t="str">
        <f>Orçam.!D69</f>
        <v>PINTURA DE FAIXA - TINTA BASE ACRÍLICA - ESPESSURA DE 0,4 MM</v>
      </c>
      <c r="C62" s="492" t="str">
        <f>Orçam.!E69</f>
        <v>M2</v>
      </c>
      <c r="D62" s="578" t="s">
        <v>145</v>
      </c>
      <c r="E62" s="768">
        <f>Sinal.!I41</f>
        <v>2696.73</v>
      </c>
      <c r="F62" s="7"/>
    </row>
    <row r="63" spans="1:13" ht="15" x14ac:dyDescent="0.2">
      <c r="I63" s="255"/>
      <c r="J63" s="256"/>
    </row>
    <row r="64" spans="1:13" ht="15.75" x14ac:dyDescent="0.2">
      <c r="B64" s="257" t="str">
        <f>Terrap.!B26</f>
        <v>Robson Darcio Sousa</v>
      </c>
      <c r="I64" s="255"/>
      <c r="J64" s="256"/>
    </row>
    <row r="65" spans="2:10" ht="15" x14ac:dyDescent="0.2">
      <c r="B65" s="903" t="str">
        <f>Terrap.!B27</f>
        <v>ENGº CIVIL</v>
      </c>
      <c r="I65" s="255"/>
      <c r="J65" s="256"/>
    </row>
    <row r="66" spans="2:10" x14ac:dyDescent="0.2">
      <c r="B66" s="903" t="str">
        <f>Terrap.!B28</f>
        <v>Crea: 120.263.916-0</v>
      </c>
    </row>
  </sheetData>
  <mergeCells count="9">
    <mergeCell ref="A1:E1"/>
    <mergeCell ref="A2:E2"/>
    <mergeCell ref="M4:P6"/>
    <mergeCell ref="A7:E7"/>
    <mergeCell ref="G4:H5"/>
    <mergeCell ref="I4:J5"/>
    <mergeCell ref="D4:D6"/>
    <mergeCell ref="E4:E6"/>
    <mergeCell ref="C5:C6"/>
  </mergeCells>
  <pageMargins left="0.19685039370078741" right="0.19685039370078741" top="0.19685039370078741" bottom="0.19685039370078741" header="0.31496062992125984" footer="0.31496062992125984"/>
  <pageSetup paperSize="9" scale="73" orientation="portrait" r:id="rId1"/>
  <rowBreaks count="1" manualBreakCount="1">
    <brk id="46" max="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J67"/>
  <sheetViews>
    <sheetView view="pageBreakPreview" topLeftCell="A31" zoomScale="115" zoomScaleSheetLayoutView="115" workbookViewId="0">
      <selection activeCell="B42" sqref="B42:F42"/>
    </sheetView>
  </sheetViews>
  <sheetFormatPr defaultColWidth="9.140625" defaultRowHeight="12.75" x14ac:dyDescent="0.2"/>
  <cols>
    <col min="1" max="1" width="13.5703125" style="13" customWidth="1"/>
    <col min="2" max="2" width="34.5703125" style="108" customWidth="1"/>
    <col min="3" max="3" width="7.42578125" style="108" customWidth="1"/>
    <col min="4" max="5" width="9.7109375" style="108" customWidth="1"/>
    <col min="6" max="6" width="6.42578125" style="108" customWidth="1"/>
    <col min="7" max="7" width="8.42578125" style="13" customWidth="1"/>
    <col min="8" max="8" width="11.7109375" style="108" customWidth="1"/>
    <col min="9" max="9" width="12.140625" style="108" customWidth="1"/>
    <col min="10" max="10" width="11.5703125" style="108" customWidth="1"/>
    <col min="11" max="16384" width="9.140625" style="108"/>
  </cols>
  <sheetData>
    <row r="1" spans="1:10" ht="15.75" x14ac:dyDescent="0.25">
      <c r="A1" s="1296" t="str">
        <f>Terrap.!A1</f>
        <v>ESTADO DE MATO GROSSO</v>
      </c>
      <c r="B1" s="1297"/>
      <c r="C1" s="1297"/>
      <c r="D1" s="1297"/>
      <c r="E1" s="1297"/>
      <c r="F1" s="1297"/>
      <c r="G1" s="1297"/>
      <c r="H1" s="1297"/>
      <c r="I1" s="1297"/>
      <c r="J1" s="1298"/>
    </row>
    <row r="2" spans="1:10" ht="15.75" x14ac:dyDescent="0.25">
      <c r="A2" s="1299" t="str">
        <f>Terrap.!A2</f>
        <v xml:space="preserve">PREFEITURA MUNICIPAL DE BARRA DO BUGRES </v>
      </c>
      <c r="B2" s="1300"/>
      <c r="C2" s="1300"/>
      <c r="D2" s="1300"/>
      <c r="E2" s="1300"/>
      <c r="F2" s="1300"/>
      <c r="G2" s="1300"/>
      <c r="H2" s="1300"/>
      <c r="I2" s="1300"/>
      <c r="J2" s="1301"/>
    </row>
    <row r="3" spans="1:10" ht="15.75" x14ac:dyDescent="0.25">
      <c r="A3" s="93"/>
      <c r="B3" s="92"/>
      <c r="C3" s="92"/>
      <c r="D3" s="92"/>
      <c r="E3" s="92"/>
      <c r="F3" s="92"/>
      <c r="G3" s="92"/>
      <c r="H3" s="92"/>
      <c r="I3" s="92"/>
      <c r="J3" s="94"/>
    </row>
    <row r="4" spans="1:10" ht="15.75" x14ac:dyDescent="0.25">
      <c r="A4" s="95" t="s">
        <v>56</v>
      </c>
      <c r="B4" s="1302" t="str">
        <f>Terrap.!B3</f>
        <v xml:space="preserve">PAVIMENTAÇÃO ASFALTICA E DRENAGEM DE AGUAS PLUVIAIS </v>
      </c>
      <c r="C4" s="1302"/>
      <c r="D4" s="1302"/>
      <c r="E4" s="1302"/>
      <c r="F4" s="1302"/>
      <c r="G4" s="1302"/>
      <c r="H4" s="1302"/>
      <c r="I4" s="1302"/>
      <c r="J4" s="1303"/>
    </row>
    <row r="5" spans="1:10" ht="12.75" customHeight="1" x14ac:dyDescent="0.25">
      <c r="A5" s="95" t="s">
        <v>57</v>
      </c>
      <c r="B5" s="1302" t="str">
        <f>Terrap.!B4</f>
        <v>DIVERSAS RUAS - PERIMETRO URBANO</v>
      </c>
      <c r="C5" s="1302"/>
      <c r="D5" s="1302"/>
      <c r="E5" s="1302"/>
      <c r="F5" s="1302"/>
      <c r="G5" s="1302"/>
      <c r="H5" s="1302"/>
      <c r="I5" s="1302"/>
      <c r="J5" s="1303"/>
    </row>
    <row r="6" spans="1:10" ht="15.75" customHeight="1" x14ac:dyDescent="0.25">
      <c r="A6" s="95" t="s">
        <v>58</v>
      </c>
      <c r="B6" s="1302" t="str">
        <f>Terrap.!B5</f>
        <v xml:space="preserve">PREFEITURA MUNICIPAL DE BARRA DO BUGRES </v>
      </c>
      <c r="C6" s="1302"/>
      <c r="D6" s="1302"/>
      <c r="E6" s="1302"/>
      <c r="F6" s="1302"/>
      <c r="G6" s="1302"/>
      <c r="H6" s="1302"/>
      <c r="I6" s="1304" t="str">
        <f>Terrap.!I3</f>
        <v>SINAPI - JULHO / 2020    DESONERADO                                                                                                                           SICRO 10/2019</v>
      </c>
      <c r="J6" s="1305"/>
    </row>
    <row r="7" spans="1:10" ht="18" customHeight="1" thickBot="1" x14ac:dyDescent="0.3">
      <c r="A7" s="96" t="s">
        <v>59</v>
      </c>
      <c r="B7" s="99">
        <f>Pavim.!C24</f>
        <v>31131.72</v>
      </c>
      <c r="C7" s="100"/>
      <c r="D7" s="97"/>
      <c r="E7" s="98" t="s">
        <v>60</v>
      </c>
      <c r="F7" s="1308">
        <f>Terrap.!F6</f>
        <v>0.25640000000000002</v>
      </c>
      <c r="G7" s="1308"/>
      <c r="H7" s="98" t="s">
        <v>61</v>
      </c>
      <c r="I7" s="1306"/>
      <c r="J7" s="1307"/>
    </row>
    <row r="8" spans="1:10" ht="18" customHeight="1" thickBot="1" x14ac:dyDescent="0.25">
      <c r="A8" s="1208" t="s">
        <v>292</v>
      </c>
      <c r="B8" s="1209"/>
      <c r="C8" s="1209"/>
      <c r="D8" s="1209"/>
      <c r="E8" s="1209"/>
      <c r="F8" s="1209"/>
      <c r="G8" s="1209"/>
      <c r="H8" s="1209"/>
      <c r="I8" s="1209"/>
      <c r="J8" s="1210"/>
    </row>
    <row r="9" spans="1:10" ht="18" customHeight="1" thickBot="1" x14ac:dyDescent="0.25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8.75" customHeight="1" thickBot="1" x14ac:dyDescent="0.25">
      <c r="A10" s="1324" t="s">
        <v>181</v>
      </c>
      <c r="B10" s="1325"/>
      <c r="C10" s="1325"/>
      <c r="D10" s="1325"/>
      <c r="E10" s="1325"/>
      <c r="F10" s="1325"/>
      <c r="G10" s="1325"/>
      <c r="H10" s="1325"/>
      <c r="I10" s="1325"/>
      <c r="J10" s="1326"/>
    </row>
    <row r="11" spans="1:10" ht="18.75" customHeight="1" thickBot="1" x14ac:dyDescent="0.25">
      <c r="A11" s="230" t="s">
        <v>293</v>
      </c>
      <c r="B11" s="1330" t="s">
        <v>294</v>
      </c>
      <c r="C11" s="1330"/>
      <c r="D11" s="1330"/>
      <c r="E11" s="1330"/>
      <c r="F11" s="1330"/>
      <c r="G11" s="1330"/>
      <c r="H11" s="1330"/>
      <c r="I11" s="1330"/>
      <c r="J11" s="1331"/>
    </row>
    <row r="12" spans="1:10" x14ac:dyDescent="0.2">
      <c r="A12" s="218" t="s">
        <v>188</v>
      </c>
      <c r="B12" s="1312" t="s">
        <v>183</v>
      </c>
      <c r="C12" s="1313"/>
      <c r="D12" s="1313"/>
      <c r="E12" s="1313"/>
      <c r="F12" s="1314"/>
      <c r="G12" s="208" t="s">
        <v>184</v>
      </c>
      <c r="H12" s="208" t="s">
        <v>185</v>
      </c>
      <c r="I12" s="208" t="s">
        <v>186</v>
      </c>
      <c r="J12" s="229" t="s">
        <v>187</v>
      </c>
    </row>
    <row r="13" spans="1:10" ht="25.5" customHeight="1" x14ac:dyDescent="0.2">
      <c r="A13" s="223">
        <v>6256</v>
      </c>
      <c r="B13" s="1309" t="s">
        <v>189</v>
      </c>
      <c r="C13" s="1310"/>
      <c r="D13" s="1310"/>
      <c r="E13" s="1310"/>
      <c r="F13" s="1311"/>
      <c r="G13" s="37" t="s">
        <v>190</v>
      </c>
      <c r="H13" s="190">
        <v>7.6899999999999998E-3</v>
      </c>
      <c r="I13" s="191">
        <v>168.45</v>
      </c>
      <c r="J13" s="203">
        <f t="shared" ref="J13:J18" si="0">ROUND((H13*I13),2)</f>
        <v>1.3</v>
      </c>
    </row>
    <row r="14" spans="1:10" x14ac:dyDescent="0.2">
      <c r="A14" s="223">
        <v>6879</v>
      </c>
      <c r="B14" s="1309" t="s">
        <v>191</v>
      </c>
      <c r="C14" s="1310"/>
      <c r="D14" s="1310"/>
      <c r="E14" s="1310"/>
      <c r="F14" s="1311"/>
      <c r="G14" s="37" t="s">
        <v>190</v>
      </c>
      <c r="H14" s="190">
        <v>4.62E-3</v>
      </c>
      <c r="I14" s="191">
        <v>114.17</v>
      </c>
      <c r="J14" s="203">
        <f t="shared" si="0"/>
        <v>0.53</v>
      </c>
    </row>
    <row r="15" spans="1:10" ht="31.5" customHeight="1" x14ac:dyDescent="0.2">
      <c r="A15" s="223">
        <v>6880</v>
      </c>
      <c r="B15" s="1309" t="s">
        <v>191</v>
      </c>
      <c r="C15" s="1310"/>
      <c r="D15" s="1310"/>
      <c r="E15" s="1310"/>
      <c r="F15" s="1311"/>
      <c r="G15" s="37" t="s">
        <v>192</v>
      </c>
      <c r="H15" s="190">
        <v>3.0799999999999998E-3</v>
      </c>
      <c r="I15" s="191">
        <v>43.09</v>
      </c>
      <c r="J15" s="203">
        <f t="shared" si="0"/>
        <v>0.13</v>
      </c>
    </row>
    <row r="16" spans="1:10" ht="28.5" customHeight="1" x14ac:dyDescent="0.2">
      <c r="A16" s="223">
        <v>7018</v>
      </c>
      <c r="B16" s="1309" t="s">
        <v>193</v>
      </c>
      <c r="C16" s="1310"/>
      <c r="D16" s="1310"/>
      <c r="E16" s="1310"/>
      <c r="F16" s="1311"/>
      <c r="G16" s="37" t="s">
        <v>190</v>
      </c>
      <c r="H16" s="190">
        <v>3.8500000000000001E-3</v>
      </c>
      <c r="I16" s="191">
        <v>179.91</v>
      </c>
      <c r="J16" s="203">
        <f t="shared" si="0"/>
        <v>0.69</v>
      </c>
    </row>
    <row r="17" spans="1:10" ht="30.75" customHeight="1" x14ac:dyDescent="0.2">
      <c r="A17" s="223">
        <v>7021</v>
      </c>
      <c r="B17" s="1309" t="s">
        <v>194</v>
      </c>
      <c r="C17" s="1310"/>
      <c r="D17" s="1310"/>
      <c r="E17" s="1310"/>
      <c r="F17" s="1311"/>
      <c r="G17" s="37" t="s">
        <v>195</v>
      </c>
      <c r="H17" s="190">
        <f>H16</f>
        <v>3.8500000000000001E-3</v>
      </c>
      <c r="I17" s="191">
        <v>12.24</v>
      </c>
      <c r="J17" s="203">
        <f t="shared" si="0"/>
        <v>0.05</v>
      </c>
    </row>
    <row r="18" spans="1:10" ht="21" customHeight="1" x14ac:dyDescent="0.2">
      <c r="A18" s="223">
        <v>73408</v>
      </c>
      <c r="B18" s="1309" t="s">
        <v>196</v>
      </c>
      <c r="C18" s="1310"/>
      <c r="D18" s="1310"/>
      <c r="E18" s="1310"/>
      <c r="F18" s="1311"/>
      <c r="G18" s="37" t="s">
        <v>190</v>
      </c>
      <c r="H18" s="190">
        <v>7.6899999999999998E-3</v>
      </c>
      <c r="I18" s="191">
        <v>113.44</v>
      </c>
      <c r="J18" s="203">
        <f t="shared" si="0"/>
        <v>0.87</v>
      </c>
    </row>
    <row r="19" spans="1:10" ht="13.5" thickBot="1" x14ac:dyDescent="0.25">
      <c r="A19" s="204"/>
      <c r="B19" s="1318" t="s">
        <v>197</v>
      </c>
      <c r="C19" s="1319"/>
      <c r="D19" s="1319"/>
      <c r="E19" s="1319"/>
      <c r="F19" s="1320"/>
      <c r="G19" s="222"/>
      <c r="H19" s="206"/>
      <c r="I19" s="205"/>
      <c r="J19" s="207">
        <f>SUM(J13:J18)</f>
        <v>3.57</v>
      </c>
    </row>
    <row r="20" spans="1:10" ht="13.5" thickBot="1" x14ac:dyDescent="0.25">
      <c r="A20" s="1338"/>
      <c r="B20" s="1339"/>
      <c r="C20" s="1339"/>
      <c r="D20" s="1339"/>
      <c r="E20" s="1339"/>
      <c r="F20" s="1339"/>
      <c r="G20" s="1339"/>
      <c r="H20" s="1339"/>
      <c r="I20" s="1339"/>
      <c r="J20" s="1340"/>
    </row>
    <row r="21" spans="1:10" x14ac:dyDescent="0.2">
      <c r="A21" s="198" t="s">
        <v>188</v>
      </c>
      <c r="B21" s="1321" t="s">
        <v>198</v>
      </c>
      <c r="C21" s="1322"/>
      <c r="D21" s="1322"/>
      <c r="E21" s="1322"/>
      <c r="F21" s="1323"/>
      <c r="G21" s="199" t="s">
        <v>184</v>
      </c>
      <c r="H21" s="200" t="s">
        <v>185</v>
      </c>
      <c r="I21" s="199" t="s">
        <v>186</v>
      </c>
      <c r="J21" s="201" t="s">
        <v>187</v>
      </c>
    </row>
    <row r="22" spans="1:10" x14ac:dyDescent="0.2">
      <c r="A22" s="202">
        <v>88316</v>
      </c>
      <c r="B22" s="1315" t="s">
        <v>298</v>
      </c>
      <c r="C22" s="1316"/>
      <c r="D22" s="1316"/>
      <c r="E22" s="1316"/>
      <c r="F22" s="1317"/>
      <c r="G22" s="37" t="s">
        <v>199</v>
      </c>
      <c r="H22" s="192">
        <v>5.3850000000000002E-2</v>
      </c>
      <c r="I22" s="191">
        <v>11.49</v>
      </c>
      <c r="J22" s="203">
        <f>ROUND((H22*I22),2)</f>
        <v>0.62</v>
      </c>
    </row>
    <row r="23" spans="1:10" ht="13.5" thickBot="1" x14ac:dyDescent="0.25">
      <c r="A23" s="204"/>
      <c r="B23" s="1318" t="s">
        <v>200</v>
      </c>
      <c r="C23" s="1319"/>
      <c r="D23" s="1319"/>
      <c r="E23" s="1319"/>
      <c r="F23" s="1320"/>
      <c r="G23" s="222"/>
      <c r="H23" s="206"/>
      <c r="I23" s="205"/>
      <c r="J23" s="207">
        <f>SUM(J22:J22)</f>
        <v>0.62</v>
      </c>
    </row>
    <row r="24" spans="1:10" ht="13.5" thickBot="1" x14ac:dyDescent="0.25">
      <c r="A24" s="1338"/>
      <c r="B24" s="1339"/>
      <c r="C24" s="1339"/>
      <c r="D24" s="1339"/>
      <c r="E24" s="1339"/>
      <c r="F24" s="1339"/>
      <c r="G24" s="1339"/>
      <c r="H24" s="1339"/>
      <c r="I24" s="1339"/>
      <c r="J24" s="1340"/>
    </row>
    <row r="25" spans="1:10" x14ac:dyDescent="0.2">
      <c r="A25" s="198" t="s">
        <v>188</v>
      </c>
      <c r="B25" s="1321" t="s">
        <v>201</v>
      </c>
      <c r="C25" s="1322"/>
      <c r="D25" s="1322"/>
      <c r="E25" s="1322"/>
      <c r="F25" s="1323"/>
      <c r="G25" s="199" t="s">
        <v>184</v>
      </c>
      <c r="H25" s="211" t="s">
        <v>185</v>
      </c>
      <c r="I25" s="210" t="s">
        <v>186</v>
      </c>
      <c r="J25" s="212" t="s">
        <v>187</v>
      </c>
    </row>
    <row r="26" spans="1:10" ht="29.25" customHeight="1" x14ac:dyDescent="0.2">
      <c r="A26" s="202">
        <v>505</v>
      </c>
      <c r="B26" s="1309" t="s">
        <v>202</v>
      </c>
      <c r="C26" s="1310"/>
      <c r="D26" s="1310"/>
      <c r="E26" s="1310"/>
      <c r="F26" s="1311"/>
      <c r="G26" s="37" t="s">
        <v>203</v>
      </c>
      <c r="H26" s="190"/>
      <c r="I26" s="191">
        <v>1.96</v>
      </c>
      <c r="J26" s="203">
        <f>ROUND((H26*I26),2)</f>
        <v>0</v>
      </c>
    </row>
    <row r="27" spans="1:10" ht="25.5" customHeight="1" x14ac:dyDescent="0.2">
      <c r="A27" s="213" t="s">
        <v>276</v>
      </c>
      <c r="B27" s="1309" t="s">
        <v>295</v>
      </c>
      <c r="C27" s="1310"/>
      <c r="D27" s="1310"/>
      <c r="E27" s="1310"/>
      <c r="F27" s="1311"/>
      <c r="G27" s="37" t="s">
        <v>204</v>
      </c>
      <c r="H27" s="190">
        <v>2.47E-2</v>
      </c>
      <c r="I27" s="193">
        <f>30*1.4</f>
        <v>42</v>
      </c>
      <c r="J27" s="203">
        <f>ROUND((H27*I27),2)</f>
        <v>1.04</v>
      </c>
    </row>
    <row r="28" spans="1:10" ht="13.5" thickBot="1" x14ac:dyDescent="0.25">
      <c r="A28" s="204"/>
      <c r="B28" s="1318" t="s">
        <v>205</v>
      </c>
      <c r="C28" s="1319"/>
      <c r="D28" s="1319"/>
      <c r="E28" s="1319"/>
      <c r="F28" s="1320"/>
      <c r="G28" s="222"/>
      <c r="H28" s="205"/>
      <c r="I28" s="205"/>
      <c r="J28" s="207">
        <f>SUM(J26:J27)</f>
        <v>1.04</v>
      </c>
    </row>
    <row r="29" spans="1:10" ht="13.5" thickBot="1" x14ac:dyDescent="0.25">
      <c r="A29" s="225"/>
      <c r="B29" s="214"/>
      <c r="C29" s="214"/>
      <c r="D29" s="214"/>
      <c r="E29" s="214"/>
      <c r="F29" s="214"/>
      <c r="G29" s="227"/>
      <c r="H29" s="214"/>
      <c r="I29" s="214"/>
      <c r="J29" s="226"/>
    </row>
    <row r="30" spans="1:10" x14ac:dyDescent="0.2">
      <c r="A30" s="215"/>
      <c r="B30" s="1321" t="s">
        <v>129</v>
      </c>
      <c r="C30" s="1322"/>
      <c r="D30" s="1322"/>
      <c r="E30" s="1322"/>
      <c r="F30" s="1323"/>
      <c r="G30" s="228"/>
      <c r="H30" s="216"/>
      <c r="I30" s="216"/>
      <c r="J30" s="217"/>
    </row>
    <row r="31" spans="1:10" x14ac:dyDescent="0.2">
      <c r="A31" s="218"/>
      <c r="B31" s="1332" t="s">
        <v>206</v>
      </c>
      <c r="C31" s="1333"/>
      <c r="D31" s="1333"/>
      <c r="E31" s="1333"/>
      <c r="F31" s="1334"/>
      <c r="G31" s="208"/>
      <c r="H31" s="209"/>
      <c r="I31" s="209"/>
      <c r="J31" s="219">
        <f>J19+J23+J28</f>
        <v>5.23</v>
      </c>
    </row>
    <row r="32" spans="1:10" x14ac:dyDescent="0.2">
      <c r="A32" s="220"/>
      <c r="B32" s="1332" t="s">
        <v>207</v>
      </c>
      <c r="C32" s="1333"/>
      <c r="D32" s="1333"/>
      <c r="E32" s="1333"/>
      <c r="F32" s="1334"/>
      <c r="G32" s="36"/>
      <c r="H32" s="189"/>
      <c r="I32" s="194">
        <v>0</v>
      </c>
      <c r="J32" s="221">
        <f>ROUND((J31*I32),2)</f>
        <v>0</v>
      </c>
    </row>
    <row r="33" spans="1:10" ht="13.5" thickBot="1" x14ac:dyDescent="0.25">
      <c r="A33" s="204"/>
      <c r="B33" s="1335" t="s">
        <v>208</v>
      </c>
      <c r="C33" s="1336"/>
      <c r="D33" s="1336"/>
      <c r="E33" s="1336"/>
      <c r="F33" s="1337"/>
      <c r="G33" s="222"/>
      <c r="H33" s="205"/>
      <c r="I33" s="205"/>
      <c r="J33" s="207">
        <f>J31+J32</f>
        <v>5.23</v>
      </c>
    </row>
    <row r="34" spans="1:10" ht="13.5" thickBot="1" x14ac:dyDescent="0.25">
      <c r="A34" s="195"/>
      <c r="B34" s="196"/>
      <c r="C34" s="196"/>
      <c r="D34" s="196"/>
      <c r="E34" s="196"/>
      <c r="F34" s="196"/>
      <c r="G34" s="195"/>
      <c r="H34" s="196"/>
      <c r="I34" s="196"/>
      <c r="J34" s="196"/>
    </row>
    <row r="35" spans="1:10" ht="15.75" customHeight="1" thickBot="1" x14ac:dyDescent="0.25">
      <c r="A35" s="1327" t="s">
        <v>182</v>
      </c>
      <c r="B35" s="1328"/>
      <c r="C35" s="1328"/>
      <c r="D35" s="1328"/>
      <c r="E35" s="1328"/>
      <c r="F35" s="1328"/>
      <c r="G35" s="1328"/>
      <c r="H35" s="1328"/>
      <c r="I35" s="1328"/>
      <c r="J35" s="1329"/>
    </row>
    <row r="36" spans="1:10" ht="18.75" customHeight="1" thickBot="1" x14ac:dyDescent="0.25">
      <c r="A36" s="230" t="s">
        <v>293</v>
      </c>
      <c r="B36" s="1330" t="s">
        <v>297</v>
      </c>
      <c r="C36" s="1330"/>
      <c r="D36" s="1330"/>
      <c r="E36" s="1330"/>
      <c r="F36" s="1330"/>
      <c r="G36" s="1330"/>
      <c r="H36" s="1330"/>
      <c r="I36" s="1330"/>
      <c r="J36" s="1331"/>
    </row>
    <row r="37" spans="1:10" x14ac:dyDescent="0.2">
      <c r="A37" s="198" t="s">
        <v>188</v>
      </c>
      <c r="B37" s="1321" t="s">
        <v>183</v>
      </c>
      <c r="C37" s="1322"/>
      <c r="D37" s="1322"/>
      <c r="E37" s="1322"/>
      <c r="F37" s="1323"/>
      <c r="G37" s="199" t="s">
        <v>184</v>
      </c>
      <c r="H37" s="199" t="s">
        <v>185</v>
      </c>
      <c r="I37" s="199" t="s">
        <v>186</v>
      </c>
      <c r="J37" s="201" t="s">
        <v>187</v>
      </c>
    </row>
    <row r="38" spans="1:10" ht="27" customHeight="1" x14ac:dyDescent="0.2">
      <c r="A38" s="223">
        <v>73353</v>
      </c>
      <c r="B38" s="1309" t="s">
        <v>209</v>
      </c>
      <c r="C38" s="1310"/>
      <c r="D38" s="1310"/>
      <c r="E38" s="1310"/>
      <c r="F38" s="1311"/>
      <c r="G38" s="37" t="s">
        <v>190</v>
      </c>
      <c r="H38" s="190">
        <v>5.3000000000000001E-5</v>
      </c>
      <c r="I38" s="191">
        <v>50.58</v>
      </c>
      <c r="J38" s="203">
        <f t="shared" ref="J38:J42" si="1">ROUND((H38*I38),2)</f>
        <v>0</v>
      </c>
    </row>
    <row r="39" spans="1:10" ht="27" customHeight="1" x14ac:dyDescent="0.2">
      <c r="A39" s="223">
        <v>73389</v>
      </c>
      <c r="B39" s="1309" t="s">
        <v>210</v>
      </c>
      <c r="C39" s="1310"/>
      <c r="D39" s="1310"/>
      <c r="E39" s="1310"/>
      <c r="F39" s="1311"/>
      <c r="G39" s="37" t="s">
        <v>190</v>
      </c>
      <c r="H39" s="190">
        <v>1.067E-3</v>
      </c>
      <c r="I39" s="191">
        <v>8.17</v>
      </c>
      <c r="J39" s="203">
        <f t="shared" si="1"/>
        <v>0.01</v>
      </c>
    </row>
    <row r="40" spans="1:10" ht="27" customHeight="1" x14ac:dyDescent="0.2">
      <c r="A40" s="223">
        <v>73453</v>
      </c>
      <c r="B40" s="1309" t="s">
        <v>211</v>
      </c>
      <c r="C40" s="1310"/>
      <c r="D40" s="1310"/>
      <c r="E40" s="1310"/>
      <c r="F40" s="1311"/>
      <c r="G40" s="37" t="s">
        <v>192</v>
      </c>
      <c r="H40" s="190">
        <v>1.067E-3</v>
      </c>
      <c r="I40" s="191">
        <v>58.94</v>
      </c>
      <c r="J40" s="203">
        <f t="shared" si="1"/>
        <v>0.06</v>
      </c>
    </row>
    <row r="41" spans="1:10" ht="27" customHeight="1" x14ac:dyDescent="0.2">
      <c r="A41" s="223">
        <v>73479</v>
      </c>
      <c r="B41" s="1309" t="s">
        <v>212</v>
      </c>
      <c r="C41" s="1310"/>
      <c r="D41" s="1310"/>
      <c r="E41" s="1310"/>
      <c r="F41" s="1311"/>
      <c r="G41" s="37" t="s">
        <v>190</v>
      </c>
      <c r="H41" s="190">
        <v>7.4700000000000005E-4</v>
      </c>
      <c r="I41" s="191">
        <v>194.32</v>
      </c>
      <c r="J41" s="203">
        <f t="shared" si="1"/>
        <v>0.15</v>
      </c>
    </row>
    <row r="42" spans="1:10" ht="27" customHeight="1" x14ac:dyDescent="0.2">
      <c r="A42" s="223">
        <v>73529</v>
      </c>
      <c r="B42" s="1309" t="s">
        <v>213</v>
      </c>
      <c r="C42" s="1310"/>
      <c r="D42" s="1310"/>
      <c r="E42" s="1310"/>
      <c r="F42" s="1311"/>
      <c r="G42" s="37" t="s">
        <v>195</v>
      </c>
      <c r="H42" s="190">
        <v>1.067E-3</v>
      </c>
      <c r="I42" s="191">
        <v>87.34</v>
      </c>
      <c r="J42" s="203">
        <f t="shared" si="1"/>
        <v>0.09</v>
      </c>
    </row>
    <row r="43" spans="1:10" ht="13.5" thickBot="1" x14ac:dyDescent="0.25">
      <c r="A43" s="204"/>
      <c r="B43" s="1318" t="s">
        <v>197</v>
      </c>
      <c r="C43" s="1319"/>
      <c r="D43" s="1319"/>
      <c r="E43" s="1319"/>
      <c r="F43" s="1320"/>
      <c r="G43" s="222"/>
      <c r="H43" s="206"/>
      <c r="I43" s="205"/>
      <c r="J43" s="207">
        <f>SUM(J38:J42)</f>
        <v>0.31</v>
      </c>
    </row>
    <row r="44" spans="1:10" ht="13.5" thickBot="1" x14ac:dyDescent="0.25">
      <c r="A44" s="1338"/>
      <c r="B44" s="1339"/>
      <c r="C44" s="1339"/>
      <c r="D44" s="1339"/>
      <c r="E44" s="1339"/>
      <c r="F44" s="1339"/>
      <c r="G44" s="1339"/>
      <c r="H44" s="1339"/>
      <c r="I44" s="1339"/>
      <c r="J44" s="1340"/>
    </row>
    <row r="45" spans="1:10" x14ac:dyDescent="0.2">
      <c r="A45" s="198" t="s">
        <v>188</v>
      </c>
      <c r="B45" s="1321" t="s">
        <v>198</v>
      </c>
      <c r="C45" s="1322"/>
      <c r="D45" s="1322"/>
      <c r="E45" s="1322"/>
      <c r="F45" s="1323"/>
      <c r="G45" s="199" t="s">
        <v>184</v>
      </c>
      <c r="H45" s="200" t="s">
        <v>185</v>
      </c>
      <c r="I45" s="199" t="s">
        <v>186</v>
      </c>
      <c r="J45" s="201" t="s">
        <v>187</v>
      </c>
    </row>
    <row r="46" spans="1:10" x14ac:dyDescent="0.2">
      <c r="A46" s="202">
        <v>88316</v>
      </c>
      <c r="B46" s="1315" t="s">
        <v>298</v>
      </c>
      <c r="C46" s="1316"/>
      <c r="D46" s="1316"/>
      <c r="E46" s="1316"/>
      <c r="F46" s="1317"/>
      <c r="G46" s="37" t="s">
        <v>195</v>
      </c>
      <c r="H46" s="192">
        <v>4.3E-3</v>
      </c>
      <c r="I46" s="191">
        <v>11.49</v>
      </c>
      <c r="J46" s="203">
        <f>ROUND((H46*I46),2)</f>
        <v>0.05</v>
      </c>
    </row>
    <row r="47" spans="1:10" ht="13.5" thickBot="1" x14ac:dyDescent="0.25">
      <c r="A47" s="204"/>
      <c r="B47" s="1318" t="s">
        <v>200</v>
      </c>
      <c r="C47" s="1319"/>
      <c r="D47" s="1319"/>
      <c r="E47" s="1319"/>
      <c r="F47" s="1320"/>
      <c r="G47" s="222"/>
      <c r="H47" s="206"/>
      <c r="I47" s="205"/>
      <c r="J47" s="207">
        <f>SUM(J46:J46)</f>
        <v>0.05</v>
      </c>
    </row>
    <row r="48" spans="1:10" ht="13.5" thickBot="1" x14ac:dyDescent="0.25">
      <c r="A48" s="1338"/>
      <c r="B48" s="1339"/>
      <c r="C48" s="1339"/>
      <c r="D48" s="1339"/>
      <c r="E48" s="1339"/>
      <c r="F48" s="1339"/>
      <c r="G48" s="1339"/>
      <c r="H48" s="1339"/>
      <c r="I48" s="1339"/>
      <c r="J48" s="1340"/>
    </row>
    <row r="49" spans="1:10" x14ac:dyDescent="0.2">
      <c r="A49" s="198" t="s">
        <v>188</v>
      </c>
      <c r="B49" s="1321" t="s">
        <v>201</v>
      </c>
      <c r="C49" s="1322"/>
      <c r="D49" s="1322"/>
      <c r="E49" s="1322"/>
      <c r="F49" s="1323"/>
      <c r="G49" s="199" t="s">
        <v>184</v>
      </c>
      <c r="H49" s="211" t="s">
        <v>185</v>
      </c>
      <c r="I49" s="210" t="s">
        <v>186</v>
      </c>
      <c r="J49" s="212" t="s">
        <v>187</v>
      </c>
    </row>
    <row r="50" spans="1:10" ht="26.25" customHeight="1" x14ac:dyDescent="0.2">
      <c r="A50" s="202">
        <v>505</v>
      </c>
      <c r="B50" s="1309" t="s">
        <v>202</v>
      </c>
      <c r="C50" s="1310"/>
      <c r="D50" s="1310"/>
      <c r="E50" s="1310"/>
      <c r="F50" s="1311"/>
      <c r="G50" s="37" t="s">
        <v>203</v>
      </c>
      <c r="H50" s="190"/>
      <c r="I50" s="191">
        <v>1.96</v>
      </c>
      <c r="J50" s="203">
        <f>ROUND((H50*I50),2)</f>
        <v>0</v>
      </c>
    </row>
    <row r="51" spans="1:10" ht="24.75" customHeight="1" x14ac:dyDescent="0.2">
      <c r="A51" s="213" t="s">
        <v>276</v>
      </c>
      <c r="B51" s="1309" t="s">
        <v>296</v>
      </c>
      <c r="C51" s="1310"/>
      <c r="D51" s="1310"/>
      <c r="E51" s="1310"/>
      <c r="F51" s="1311"/>
      <c r="G51" s="37" t="s">
        <v>204</v>
      </c>
      <c r="H51" s="190">
        <v>7.1999999999999998E-3</v>
      </c>
      <c r="I51" s="193">
        <f>30*1.4</f>
        <v>42</v>
      </c>
      <c r="J51" s="203">
        <f>ROUND((H51*I51),2)</f>
        <v>0.3</v>
      </c>
    </row>
    <row r="52" spans="1:10" ht="13.5" thickBot="1" x14ac:dyDescent="0.25">
      <c r="A52" s="204"/>
      <c r="B52" s="1318" t="s">
        <v>205</v>
      </c>
      <c r="C52" s="1319"/>
      <c r="D52" s="1319"/>
      <c r="E52" s="1319"/>
      <c r="F52" s="1320"/>
      <c r="G52" s="222"/>
      <c r="H52" s="205"/>
      <c r="I52" s="205"/>
      <c r="J52" s="207">
        <f>SUM(J50:J51)</f>
        <v>0.3</v>
      </c>
    </row>
    <row r="53" spans="1:10" ht="13.5" thickBot="1" x14ac:dyDescent="0.25">
      <c r="A53" s="225"/>
      <c r="B53" s="214"/>
      <c r="C53" s="214"/>
      <c r="D53" s="214"/>
      <c r="E53" s="214"/>
      <c r="F53" s="214"/>
      <c r="G53" s="227"/>
      <c r="H53" s="214"/>
      <c r="I53" s="214"/>
      <c r="J53" s="226"/>
    </row>
    <row r="54" spans="1:10" x14ac:dyDescent="0.2">
      <c r="A54" s="215"/>
      <c r="B54" s="1321" t="s">
        <v>129</v>
      </c>
      <c r="C54" s="1322"/>
      <c r="D54" s="1322"/>
      <c r="E54" s="1322"/>
      <c r="F54" s="1323"/>
      <c r="G54" s="228"/>
      <c r="H54" s="216"/>
      <c r="I54" s="216"/>
      <c r="J54" s="217"/>
    </row>
    <row r="55" spans="1:10" x14ac:dyDescent="0.2">
      <c r="A55" s="218"/>
      <c r="B55" s="1332" t="s">
        <v>206</v>
      </c>
      <c r="C55" s="1333"/>
      <c r="D55" s="1333"/>
      <c r="E55" s="1333"/>
      <c r="F55" s="1334"/>
      <c r="G55" s="208"/>
      <c r="H55" s="209"/>
      <c r="I55" s="209"/>
      <c r="J55" s="219">
        <f>J43+J47+J52</f>
        <v>0.66</v>
      </c>
    </row>
    <row r="56" spans="1:10" x14ac:dyDescent="0.2">
      <c r="A56" s="220"/>
      <c r="B56" s="1332" t="s">
        <v>207</v>
      </c>
      <c r="C56" s="1333"/>
      <c r="D56" s="1333"/>
      <c r="E56" s="1333"/>
      <c r="F56" s="1334"/>
      <c r="G56" s="36"/>
      <c r="H56" s="189"/>
      <c r="I56" s="194">
        <v>0</v>
      </c>
      <c r="J56" s="221">
        <f>ROUND((J55*I56),2)</f>
        <v>0</v>
      </c>
    </row>
    <row r="57" spans="1:10" ht="13.5" thickBot="1" x14ac:dyDescent="0.25">
      <c r="A57" s="204"/>
      <c r="B57" s="1335" t="s">
        <v>208</v>
      </c>
      <c r="C57" s="1336"/>
      <c r="D57" s="1336"/>
      <c r="E57" s="1336"/>
      <c r="F57" s="1337"/>
      <c r="G57" s="222"/>
      <c r="H57" s="205"/>
      <c r="I57" s="205"/>
      <c r="J57" s="207">
        <f>J55+J56</f>
        <v>0.66</v>
      </c>
    </row>
    <row r="58" spans="1:10" x14ac:dyDescent="0.2">
      <c r="A58" s="195"/>
      <c r="B58" s="196"/>
      <c r="C58" s="196"/>
      <c r="D58" s="196"/>
      <c r="E58" s="196"/>
      <c r="F58" s="196"/>
      <c r="G58" s="195"/>
      <c r="H58" s="196"/>
      <c r="I58" s="196"/>
      <c r="J58" s="196"/>
    </row>
    <row r="59" spans="1:10" x14ac:dyDescent="0.2">
      <c r="A59" s="195"/>
      <c r="B59" s="196"/>
      <c r="C59" s="196"/>
      <c r="D59" s="196"/>
      <c r="E59" s="196"/>
      <c r="F59" s="196"/>
      <c r="G59" s="195"/>
      <c r="H59" s="196"/>
      <c r="I59" s="196"/>
      <c r="J59" s="196"/>
    </row>
    <row r="60" spans="1:10" x14ac:dyDescent="0.2">
      <c r="A60" s="195"/>
      <c r="B60" s="196"/>
      <c r="C60" s="196"/>
      <c r="D60" s="196"/>
      <c r="E60" s="196"/>
      <c r="F60" s="196"/>
      <c r="G60" s="195"/>
      <c r="H60" s="196"/>
      <c r="I60" s="196"/>
      <c r="J60" s="196"/>
    </row>
    <row r="61" spans="1:10" x14ac:dyDescent="0.2">
      <c r="A61" s="195"/>
      <c r="B61" s="196"/>
      <c r="C61" s="196"/>
      <c r="D61" s="196"/>
      <c r="E61" s="196"/>
      <c r="F61" s="196"/>
      <c r="G61" s="195"/>
      <c r="H61" s="196"/>
      <c r="I61" s="196"/>
      <c r="J61" s="196"/>
    </row>
    <row r="62" spans="1:10" x14ac:dyDescent="0.2">
      <c r="A62" s="195"/>
      <c r="B62" s="196"/>
      <c r="C62" s="196"/>
      <c r="D62" s="196"/>
      <c r="E62" s="196"/>
      <c r="F62" s="196"/>
      <c r="G62" s="195"/>
      <c r="H62" s="196"/>
      <c r="I62" s="196"/>
      <c r="J62" s="196"/>
    </row>
    <row r="63" spans="1:10" x14ac:dyDescent="0.2">
      <c r="A63" s="195"/>
      <c r="B63" s="196"/>
      <c r="C63" s="196"/>
      <c r="D63" s="196"/>
      <c r="E63" s="196"/>
      <c r="F63" s="196"/>
      <c r="G63" s="195"/>
      <c r="H63" s="196"/>
      <c r="I63" s="196"/>
      <c r="J63" s="196"/>
    </row>
    <row r="64" spans="1:10" x14ac:dyDescent="0.2">
      <c r="A64" s="195"/>
      <c r="B64" s="196"/>
      <c r="C64" s="196"/>
      <c r="D64" s="196"/>
      <c r="E64" s="196"/>
      <c r="F64" s="196"/>
      <c r="G64" s="195"/>
      <c r="H64" s="196"/>
      <c r="I64" s="196"/>
      <c r="J64" s="196"/>
    </row>
    <row r="65" spans="1:10" x14ac:dyDescent="0.2">
      <c r="A65" s="195"/>
      <c r="B65" s="195"/>
      <c r="C65" s="195"/>
      <c r="D65" s="195"/>
      <c r="E65" s="195"/>
      <c r="F65" s="195"/>
      <c r="G65" s="195"/>
      <c r="H65" s="196"/>
      <c r="I65" s="196"/>
      <c r="J65" s="196"/>
    </row>
    <row r="66" spans="1:10" x14ac:dyDescent="0.2">
      <c r="A66" s="195"/>
      <c r="B66" s="197" t="str">
        <f>Terrap.!B26</f>
        <v>Robson Darcio Sousa</v>
      </c>
      <c r="C66" s="197"/>
      <c r="D66" s="197"/>
      <c r="E66" s="197"/>
      <c r="F66" s="197"/>
      <c r="G66" s="195"/>
      <c r="H66" s="196"/>
      <c r="I66" s="196"/>
      <c r="J66" s="196"/>
    </row>
    <row r="67" spans="1:10" x14ac:dyDescent="0.2">
      <c r="A67" s="195"/>
      <c r="B67" s="195" t="str">
        <f>Terrap.!B27</f>
        <v>ENGº CIVIL</v>
      </c>
      <c r="C67" s="195"/>
      <c r="D67" s="195"/>
      <c r="E67" s="195"/>
      <c r="F67" s="195"/>
      <c r="G67" s="195"/>
      <c r="H67" s="196"/>
      <c r="I67" s="196"/>
      <c r="J67" s="196"/>
    </row>
  </sheetData>
  <mergeCells count="53">
    <mergeCell ref="B52:F52"/>
    <mergeCell ref="B54:F54"/>
    <mergeCell ref="B55:F55"/>
    <mergeCell ref="B56:F56"/>
    <mergeCell ref="B57:F57"/>
    <mergeCell ref="B47:F47"/>
    <mergeCell ref="A48:J48"/>
    <mergeCell ref="B49:F49"/>
    <mergeCell ref="B50:F50"/>
    <mergeCell ref="B51:F51"/>
    <mergeCell ref="B43:F43"/>
    <mergeCell ref="A44:J44"/>
    <mergeCell ref="B45:F45"/>
    <mergeCell ref="B46:F46"/>
    <mergeCell ref="B38:F38"/>
    <mergeCell ref="B39:F39"/>
    <mergeCell ref="B40:F40"/>
    <mergeCell ref="B41:F41"/>
    <mergeCell ref="B42:F42"/>
    <mergeCell ref="A8:J8"/>
    <mergeCell ref="A10:J10"/>
    <mergeCell ref="B28:F28"/>
    <mergeCell ref="A35:J35"/>
    <mergeCell ref="B37:F37"/>
    <mergeCell ref="B11:J11"/>
    <mergeCell ref="B36:J36"/>
    <mergeCell ref="B27:F27"/>
    <mergeCell ref="B30:F30"/>
    <mergeCell ref="B31:F31"/>
    <mergeCell ref="B32:F32"/>
    <mergeCell ref="B33:F33"/>
    <mergeCell ref="B23:F23"/>
    <mergeCell ref="A20:J20"/>
    <mergeCell ref="A24:J24"/>
    <mergeCell ref="B25:F25"/>
    <mergeCell ref="B26:F26"/>
    <mergeCell ref="B18:F18"/>
    <mergeCell ref="B12:F12"/>
    <mergeCell ref="B22:F22"/>
    <mergeCell ref="B19:F19"/>
    <mergeCell ref="B21:F21"/>
    <mergeCell ref="B13:F13"/>
    <mergeCell ref="B14:F14"/>
    <mergeCell ref="B15:F15"/>
    <mergeCell ref="B16:F16"/>
    <mergeCell ref="B17:F17"/>
    <mergeCell ref="A1:J1"/>
    <mergeCell ref="A2:J2"/>
    <mergeCell ref="B4:J4"/>
    <mergeCell ref="B5:J5"/>
    <mergeCell ref="B6:H6"/>
    <mergeCell ref="I6:J7"/>
    <mergeCell ref="F7:G7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N84"/>
  <sheetViews>
    <sheetView tabSelected="1" view="pageBreakPreview" topLeftCell="A46" zoomScale="85" zoomScaleNormal="85" zoomScaleSheetLayoutView="85" zoomScalePageLayoutView="80" workbookViewId="0">
      <selection activeCell="M40" sqref="M40"/>
    </sheetView>
  </sheetViews>
  <sheetFormatPr defaultColWidth="9.140625" defaultRowHeight="15" x14ac:dyDescent="0.2"/>
  <cols>
    <col min="1" max="1" width="12.42578125" style="8" customWidth="1"/>
    <col min="2" max="3" width="15" style="8" customWidth="1"/>
    <col min="4" max="4" width="69.7109375" style="261" customWidth="1"/>
    <col min="5" max="5" width="10.140625" style="8" customWidth="1"/>
    <col min="6" max="6" width="15.5703125" style="10" customWidth="1"/>
    <col min="7" max="7" width="11.28515625" style="11" bestFit="1" customWidth="1"/>
    <col min="8" max="8" width="11.5703125" style="11" bestFit="1" customWidth="1"/>
    <col min="9" max="9" width="19.7109375" style="11" bestFit="1" customWidth="1"/>
    <col min="10" max="10" width="12.5703125" style="19" customWidth="1"/>
    <col min="11" max="11" width="10.5703125" style="245" bestFit="1" customWidth="1"/>
    <col min="12" max="12" width="14.85546875" style="245" customWidth="1"/>
    <col min="13" max="13" width="13.140625" style="245" bestFit="1" customWidth="1"/>
    <col min="14" max="14" width="12.5703125" style="245" bestFit="1" customWidth="1"/>
    <col min="15" max="16384" width="9.140625" style="245"/>
  </cols>
  <sheetData>
    <row r="1" spans="1:14" ht="15.75" x14ac:dyDescent="0.2">
      <c r="A1" s="1348" t="str">
        <f>Terrap.!A1</f>
        <v>ESTADO DE MATO GROSSO</v>
      </c>
      <c r="B1" s="1349"/>
      <c r="C1" s="1349"/>
      <c r="D1" s="1349"/>
      <c r="E1" s="1349"/>
      <c r="F1" s="1349"/>
      <c r="G1" s="1349"/>
      <c r="H1" s="1349"/>
      <c r="I1" s="1349"/>
      <c r="J1" s="1350"/>
    </row>
    <row r="2" spans="1:14" ht="15.75" x14ac:dyDescent="0.2">
      <c r="A2" s="1351" t="str">
        <f>Terrap.!A2</f>
        <v xml:space="preserve">PREFEITURA MUNICIPAL DE BARRA DO BUGRES </v>
      </c>
      <c r="B2" s="1352"/>
      <c r="C2" s="1352"/>
      <c r="D2" s="1352"/>
      <c r="E2" s="1352"/>
      <c r="F2" s="1352"/>
      <c r="G2" s="1352"/>
      <c r="H2" s="1352"/>
      <c r="I2" s="1352"/>
      <c r="J2" s="1353"/>
      <c r="K2" s="888"/>
      <c r="L2" s="888"/>
      <c r="M2" s="888"/>
    </row>
    <row r="3" spans="1:14" ht="26.25" customHeight="1" x14ac:dyDescent="0.2">
      <c r="A3" s="380" t="str">
        <f>Terrap.!A3</f>
        <v>OBRA:</v>
      </c>
      <c r="B3" s="1366" t="str">
        <f>Terrap.!B3</f>
        <v xml:space="preserve">PAVIMENTAÇÃO ASFALTICA E DRENAGEM DE AGUAS PLUVIAIS </v>
      </c>
      <c r="C3" s="1367"/>
      <c r="D3" s="1367"/>
      <c r="E3" s="1368"/>
      <c r="F3" s="1356" t="s">
        <v>136</v>
      </c>
      <c r="G3" s="1360" t="str">
        <f>Terrap.!I3</f>
        <v>SINAPI - JULHO / 2020    DESONERADO                                                                                                                           SICRO 10/2019</v>
      </c>
      <c r="H3" s="1360"/>
      <c r="I3" s="1360"/>
      <c r="J3" s="1361"/>
      <c r="K3" s="888"/>
      <c r="L3" s="888"/>
      <c r="M3" s="888"/>
    </row>
    <row r="4" spans="1:14" ht="26.25" customHeight="1" x14ac:dyDescent="0.2">
      <c r="A4" s="380" t="str">
        <f>Terrap.!A4</f>
        <v>LOCAL:</v>
      </c>
      <c r="B4" s="1366" t="str">
        <f>Terrap.!B4</f>
        <v>DIVERSAS RUAS - PERIMETRO URBANO</v>
      </c>
      <c r="C4" s="1367"/>
      <c r="D4" s="1367"/>
      <c r="E4" s="1368"/>
      <c r="F4" s="1356"/>
      <c r="G4" s="1362"/>
      <c r="H4" s="1362"/>
      <c r="I4" s="1362"/>
      <c r="J4" s="1363"/>
      <c r="K4" s="7"/>
      <c r="L4" s="7"/>
      <c r="M4" s="7"/>
    </row>
    <row r="5" spans="1:14" ht="26.25" customHeight="1" x14ac:dyDescent="0.2">
      <c r="A5" s="380" t="str">
        <f>Terrap.!A5</f>
        <v>PROPR.:</v>
      </c>
      <c r="B5" s="1366" t="str">
        <f>Terrap.!B5</f>
        <v xml:space="preserve">PREFEITURA MUNICIPAL DE BARRA DO BUGRES </v>
      </c>
      <c r="C5" s="1367"/>
      <c r="D5" s="1367"/>
      <c r="E5" s="1368"/>
      <c r="F5" s="1356"/>
      <c r="G5" s="1364"/>
      <c r="H5" s="1364"/>
      <c r="I5" s="1364"/>
      <c r="J5" s="1365"/>
      <c r="K5" s="7"/>
      <c r="L5" s="7"/>
      <c r="M5" s="7"/>
      <c r="N5" s="7"/>
    </row>
    <row r="6" spans="1:14" ht="26.25" customHeight="1" thickBot="1" x14ac:dyDescent="0.25">
      <c r="A6" s="382" t="str">
        <f>Terrap.!A6</f>
        <v>ÁREA (m²):</v>
      </c>
      <c r="B6" s="1357">
        <f>Pavim.!C24</f>
        <v>31131.72</v>
      </c>
      <c r="C6" s="1357"/>
      <c r="D6" s="1357"/>
      <c r="E6" s="1357"/>
      <c r="F6" s="835" t="s">
        <v>362</v>
      </c>
      <c r="G6" s="1369" t="str">
        <f>Terrap.!F5</f>
        <v>AGOSTO 2020</v>
      </c>
      <c r="H6" s="1370"/>
      <c r="I6" s="415" t="s">
        <v>60</v>
      </c>
      <c r="J6" s="532">
        <f>BDI!F17</f>
        <v>0.25640000000000002</v>
      </c>
      <c r="K6" s="7"/>
      <c r="L6" s="7"/>
      <c r="M6" s="7"/>
      <c r="N6" s="7"/>
    </row>
    <row r="7" spans="1:14" ht="26.25" customHeight="1" thickBot="1" x14ac:dyDescent="0.25">
      <c r="A7" s="1287" t="s">
        <v>704</v>
      </c>
      <c r="B7" s="1288"/>
      <c r="C7" s="1288"/>
      <c r="D7" s="1288"/>
      <c r="E7" s="1288"/>
      <c r="F7" s="1288"/>
      <c r="G7" s="1288"/>
      <c r="H7" s="1288"/>
      <c r="I7" s="1288"/>
      <c r="J7" s="1289"/>
      <c r="K7" s="7"/>
    </row>
    <row r="8" spans="1:14" ht="42.75" x14ac:dyDescent="0.2">
      <c r="A8" s="475" t="s">
        <v>0</v>
      </c>
      <c r="B8" s="476" t="s">
        <v>380</v>
      </c>
      <c r="C8" s="476" t="s">
        <v>381</v>
      </c>
      <c r="D8" s="477" t="s">
        <v>1</v>
      </c>
      <c r="E8" s="477" t="s">
        <v>2</v>
      </c>
      <c r="F8" s="478" t="s">
        <v>3</v>
      </c>
      <c r="G8" s="479" t="s">
        <v>581</v>
      </c>
      <c r="H8" s="479" t="s">
        <v>130</v>
      </c>
      <c r="I8" s="479" t="s">
        <v>379</v>
      </c>
      <c r="J8" s="480" t="s">
        <v>4</v>
      </c>
      <c r="K8" s="259"/>
      <c r="L8" s="897"/>
      <c r="M8" s="897"/>
      <c r="N8" s="897"/>
    </row>
    <row r="9" spans="1:14" x14ac:dyDescent="0.2">
      <c r="A9" s="481">
        <v>1</v>
      </c>
      <c r="B9" s="482"/>
      <c r="C9" s="482"/>
      <c r="D9" s="483" t="s">
        <v>30</v>
      </c>
      <c r="E9" s="482"/>
      <c r="F9" s="484"/>
      <c r="G9" s="484"/>
      <c r="H9" s="484"/>
      <c r="I9" s="484"/>
      <c r="J9" s="486"/>
      <c r="K9" s="889"/>
    </row>
    <row r="10" spans="1:14" ht="30" x14ac:dyDescent="0.2">
      <c r="A10" s="487" t="s">
        <v>23</v>
      </c>
      <c r="B10" s="1371" t="str">
        <f>COMPOSIÇÕES!A105</f>
        <v>COMPOSIÇÃO 08</v>
      </c>
      <c r="C10" s="1372"/>
      <c r="D10" s="491" t="s">
        <v>779</v>
      </c>
      <c r="E10" s="462" t="s">
        <v>512</v>
      </c>
      <c r="F10" s="489">
        <f>'Mem. Calc.'!E10</f>
        <v>3.13</v>
      </c>
      <c r="G10" s="490">
        <f>COMPOSIÇÕES!F119</f>
        <v>375.71</v>
      </c>
      <c r="H10" s="490">
        <f t="shared" ref="H10" si="0">G10+G10*$J$6</f>
        <v>472.04</v>
      </c>
      <c r="I10" s="490">
        <f t="shared" ref="I10" si="1">F10*H10</f>
        <v>1477.49</v>
      </c>
      <c r="J10" s="1358">
        <f>I15/I71</f>
        <v>3.2099999999999997E-2</v>
      </c>
      <c r="K10" s="889"/>
    </row>
    <row r="11" spans="1:14" ht="45" x14ac:dyDescent="0.2">
      <c r="A11" s="487" t="s">
        <v>44</v>
      </c>
      <c r="B11" s="1009">
        <v>93584</v>
      </c>
      <c r="C11" s="1009"/>
      <c r="D11" s="491" t="s">
        <v>774</v>
      </c>
      <c r="E11" s="1009" t="s">
        <v>35</v>
      </c>
      <c r="F11" s="489">
        <f>'Mem. Calc.'!E11</f>
        <v>20</v>
      </c>
      <c r="G11" s="490">
        <v>547.08000000000004</v>
      </c>
      <c r="H11" s="490">
        <f t="shared" ref="H11:H14" si="2">G11+G11*$J$6</f>
        <v>687.35</v>
      </c>
      <c r="I11" s="490">
        <f t="shared" ref="I11:I14" si="3">F11*H11</f>
        <v>13747</v>
      </c>
      <c r="J11" s="1358"/>
      <c r="K11" s="889"/>
    </row>
    <row r="12" spans="1:14" ht="45" x14ac:dyDescent="0.2">
      <c r="A12" s="487" t="s">
        <v>45</v>
      </c>
      <c r="B12" s="1009">
        <v>93212</v>
      </c>
      <c r="C12" s="1009"/>
      <c r="D12" s="491" t="s">
        <v>775</v>
      </c>
      <c r="E12" s="1009" t="s">
        <v>35</v>
      </c>
      <c r="F12" s="489">
        <f>'Mem. Calc.'!E12</f>
        <v>15</v>
      </c>
      <c r="G12" s="490">
        <v>617.22</v>
      </c>
      <c r="H12" s="490">
        <f t="shared" si="2"/>
        <v>775.48</v>
      </c>
      <c r="I12" s="490">
        <f t="shared" si="3"/>
        <v>11632.2</v>
      </c>
      <c r="J12" s="1358"/>
      <c r="K12" s="889"/>
    </row>
    <row r="13" spans="1:14" x14ac:dyDescent="0.2">
      <c r="A13" s="487" t="s">
        <v>111</v>
      </c>
      <c r="B13" s="1009"/>
      <c r="C13" s="1009"/>
      <c r="D13" s="491" t="str">
        <f>MOBILIZA!A8</f>
        <v>MOBILIZAÇÃO E DESMOBILIZAÇÃO DE EQUIPAMENTOS</v>
      </c>
      <c r="E13" s="1009" t="s">
        <v>49</v>
      </c>
      <c r="F13" s="489">
        <f>'Mem. Calc.'!E13</f>
        <v>1</v>
      </c>
      <c r="G13" s="490">
        <f>MOBILIZA!G32</f>
        <v>13455.69</v>
      </c>
      <c r="H13" s="490">
        <f t="shared" si="2"/>
        <v>16905.73</v>
      </c>
      <c r="I13" s="490">
        <f t="shared" si="3"/>
        <v>16905.73</v>
      </c>
      <c r="J13" s="1358"/>
      <c r="K13" s="889"/>
    </row>
    <row r="14" spans="1:14" x14ac:dyDescent="0.2">
      <c r="A14" s="487" t="s">
        <v>233</v>
      </c>
      <c r="B14" s="1009"/>
      <c r="C14" s="1009"/>
      <c r="D14" s="491" t="str">
        <f>'ADM LOCAL'!A10</f>
        <v>ADMINISTRAÇÃO LOCAL DA OBRA</v>
      </c>
      <c r="E14" s="1009" t="s">
        <v>49</v>
      </c>
      <c r="F14" s="489">
        <f>'Mem. Calc.'!E14</f>
        <v>1</v>
      </c>
      <c r="G14" s="490">
        <f>'ADM LOCAL'!I18</f>
        <v>34233.599999999999</v>
      </c>
      <c r="H14" s="490">
        <f t="shared" si="2"/>
        <v>43011.1</v>
      </c>
      <c r="I14" s="490">
        <f t="shared" si="3"/>
        <v>43011.1</v>
      </c>
      <c r="J14" s="1358"/>
      <c r="K14" s="889"/>
    </row>
    <row r="15" spans="1:14" x14ac:dyDescent="0.2">
      <c r="A15" s="493"/>
      <c r="B15" s="494"/>
      <c r="C15" s="494"/>
      <c r="D15" s="495" t="s">
        <v>7</v>
      </c>
      <c r="E15" s="494"/>
      <c r="F15" s="496"/>
      <c r="G15" s="497"/>
      <c r="H15" s="497"/>
      <c r="I15" s="497">
        <f>SUM(I10:I14)</f>
        <v>86773.52</v>
      </c>
      <c r="J15" s="1359"/>
      <c r="K15" s="889"/>
    </row>
    <row r="16" spans="1:14" x14ac:dyDescent="0.2">
      <c r="A16" s="481">
        <v>2</v>
      </c>
      <c r="B16" s="482"/>
      <c r="C16" s="482"/>
      <c r="D16" s="498" t="s">
        <v>50</v>
      </c>
      <c r="E16" s="482"/>
      <c r="F16" s="499"/>
      <c r="G16" s="485"/>
      <c r="H16" s="485"/>
      <c r="I16" s="485"/>
      <c r="J16" s="486"/>
      <c r="K16" s="889"/>
    </row>
    <row r="17" spans="1:13" ht="15" customHeight="1" x14ac:dyDescent="0.2">
      <c r="A17" s="493" t="s">
        <v>24</v>
      </c>
      <c r="B17" s="494"/>
      <c r="C17" s="494"/>
      <c r="D17" s="505" t="s">
        <v>132</v>
      </c>
      <c r="E17" s="501"/>
      <c r="F17" s="503"/>
      <c r="G17" s="497"/>
      <c r="H17" s="497"/>
      <c r="I17" s="503"/>
      <c r="J17" s="1354">
        <f>(I24+I29+I37+I40)/I71</f>
        <v>4.2299999999999997E-2</v>
      </c>
      <c r="K17" s="7"/>
    </row>
    <row r="18" spans="1:13" ht="75" x14ac:dyDescent="0.2">
      <c r="A18" s="506" t="s">
        <v>666</v>
      </c>
      <c r="B18" s="507">
        <v>90091</v>
      </c>
      <c r="C18" s="492" t="s">
        <v>380</v>
      </c>
      <c r="D18" s="508" t="s">
        <v>459</v>
      </c>
      <c r="E18" s="673" t="s">
        <v>513</v>
      </c>
      <c r="F18" s="509">
        <f>'Mem. Calc.'!E17</f>
        <v>567.02</v>
      </c>
      <c r="G18" s="490">
        <v>4.09</v>
      </c>
      <c r="H18" s="490">
        <f t="shared" ref="H18:H23" si="4">G18+G18*$J$6</f>
        <v>5.14</v>
      </c>
      <c r="I18" s="490">
        <f t="shared" ref="I18:I23" si="5">F18*H18</f>
        <v>2914.48</v>
      </c>
      <c r="J18" s="1354"/>
      <c r="K18" s="247"/>
    </row>
    <row r="19" spans="1:13" ht="75" customHeight="1" x14ac:dyDescent="0.2">
      <c r="A19" s="506" t="s">
        <v>667</v>
      </c>
      <c r="B19" s="507">
        <v>90092</v>
      </c>
      <c r="C19" s="492" t="s">
        <v>380</v>
      </c>
      <c r="D19" s="508" t="s">
        <v>460</v>
      </c>
      <c r="E19" s="673" t="s">
        <v>513</v>
      </c>
      <c r="F19" s="509">
        <f>'Mem. Calc.'!E18</f>
        <v>107.04</v>
      </c>
      <c r="G19" s="490">
        <v>3.95</v>
      </c>
      <c r="H19" s="490">
        <f t="shared" si="4"/>
        <v>4.96</v>
      </c>
      <c r="I19" s="490">
        <f t="shared" si="5"/>
        <v>530.91999999999996</v>
      </c>
      <c r="J19" s="1354"/>
      <c r="K19" s="247"/>
    </row>
    <row r="20" spans="1:13" ht="48.75" customHeight="1" x14ac:dyDescent="0.2">
      <c r="A20" s="506" t="s">
        <v>668</v>
      </c>
      <c r="B20" s="507">
        <v>94056</v>
      </c>
      <c r="C20" s="492" t="s">
        <v>380</v>
      </c>
      <c r="D20" s="508" t="s">
        <v>480</v>
      </c>
      <c r="E20" s="673" t="s">
        <v>512</v>
      </c>
      <c r="F20" s="509">
        <f>'Mem. Calc.'!E19</f>
        <v>88.71</v>
      </c>
      <c r="G20" s="490">
        <v>28.36</v>
      </c>
      <c r="H20" s="490">
        <f t="shared" si="4"/>
        <v>35.630000000000003</v>
      </c>
      <c r="I20" s="490">
        <f t="shared" si="5"/>
        <v>3160.74</v>
      </c>
      <c r="J20" s="1354"/>
      <c r="K20" s="247"/>
    </row>
    <row r="21" spans="1:13" ht="45" x14ac:dyDescent="0.2">
      <c r="A21" s="506" t="s">
        <v>669</v>
      </c>
      <c r="B21" s="492">
        <v>94102</v>
      </c>
      <c r="C21" s="492" t="s">
        <v>380</v>
      </c>
      <c r="D21" s="508" t="s">
        <v>461</v>
      </c>
      <c r="E21" s="673" t="s">
        <v>513</v>
      </c>
      <c r="F21" s="509">
        <f>'Mem. Calc.'!E20</f>
        <v>35.020000000000003</v>
      </c>
      <c r="G21" s="490">
        <v>152.12</v>
      </c>
      <c r="H21" s="490">
        <f t="shared" si="4"/>
        <v>191.12</v>
      </c>
      <c r="I21" s="490">
        <f t="shared" si="5"/>
        <v>6693.02</v>
      </c>
      <c r="J21" s="1354"/>
      <c r="K21" s="247"/>
    </row>
    <row r="22" spans="1:13" ht="75" x14ac:dyDescent="0.2">
      <c r="A22" s="506" t="s">
        <v>670</v>
      </c>
      <c r="B22" s="507">
        <v>93379</v>
      </c>
      <c r="C22" s="492" t="s">
        <v>380</v>
      </c>
      <c r="D22" s="510" t="s">
        <v>413</v>
      </c>
      <c r="E22" s="673" t="s">
        <v>513</v>
      </c>
      <c r="F22" s="509">
        <f>'Mem. Calc.'!E21</f>
        <v>466.4</v>
      </c>
      <c r="G22" s="490">
        <v>10.36</v>
      </c>
      <c r="H22" s="490">
        <f t="shared" si="4"/>
        <v>13.02</v>
      </c>
      <c r="I22" s="490">
        <f t="shared" si="5"/>
        <v>6072.53</v>
      </c>
      <c r="J22" s="1354"/>
      <c r="K22" s="247"/>
      <c r="M22" s="838"/>
    </row>
    <row r="23" spans="1:13" ht="75" x14ac:dyDescent="0.2">
      <c r="A23" s="506" t="s">
        <v>671</v>
      </c>
      <c r="B23" s="507">
        <v>93381</v>
      </c>
      <c r="C23" s="492" t="s">
        <v>380</v>
      </c>
      <c r="D23" s="510" t="s">
        <v>414</v>
      </c>
      <c r="E23" s="673" t="s">
        <v>513</v>
      </c>
      <c r="F23" s="509">
        <f>'Mem. Calc.'!E22</f>
        <v>103.64</v>
      </c>
      <c r="G23" s="490">
        <v>5.69</v>
      </c>
      <c r="H23" s="490">
        <f t="shared" si="4"/>
        <v>7.15</v>
      </c>
      <c r="I23" s="490">
        <f t="shared" si="5"/>
        <v>741.03</v>
      </c>
      <c r="J23" s="1354"/>
      <c r="K23" s="247"/>
      <c r="M23" s="839"/>
    </row>
    <row r="24" spans="1:13" ht="15" customHeight="1" x14ac:dyDescent="0.2">
      <c r="A24" s="493"/>
      <c r="B24" s="494"/>
      <c r="C24" s="494"/>
      <c r="D24" s="502" t="s">
        <v>7</v>
      </c>
      <c r="E24" s="501"/>
      <c r="F24" s="503"/>
      <c r="G24" s="497"/>
      <c r="H24" s="497"/>
      <c r="I24" s="503">
        <f>SUM(I18:I23)</f>
        <v>20112.72</v>
      </c>
      <c r="J24" s="1354"/>
      <c r="K24" s="837"/>
      <c r="L24" s="260"/>
    </row>
    <row r="25" spans="1:13" ht="15" customHeight="1" x14ac:dyDescent="0.2">
      <c r="A25" s="493" t="s">
        <v>32</v>
      </c>
      <c r="B25" s="494"/>
      <c r="C25" s="494"/>
      <c r="D25" s="511" t="s">
        <v>133</v>
      </c>
      <c r="E25" s="501"/>
      <c r="F25" s="503"/>
      <c r="G25" s="497"/>
      <c r="H25" s="497"/>
      <c r="I25" s="503"/>
      <c r="J25" s="1354"/>
      <c r="K25" s="247"/>
    </row>
    <row r="26" spans="1:13" ht="60" x14ac:dyDescent="0.2">
      <c r="A26" s="487" t="s">
        <v>672</v>
      </c>
      <c r="B26" s="492">
        <v>92210</v>
      </c>
      <c r="C26" s="492" t="s">
        <v>380</v>
      </c>
      <c r="D26" s="510" t="s">
        <v>415</v>
      </c>
      <c r="E26" s="492" t="s">
        <v>514</v>
      </c>
      <c r="F26" s="504">
        <f>'Mem. Calc.'!E24</f>
        <v>60</v>
      </c>
      <c r="G26" s="490">
        <v>96.46</v>
      </c>
      <c r="H26" s="490">
        <f t="shared" ref="H26:H28" si="6">G26+G26*$J$6</f>
        <v>121.19</v>
      </c>
      <c r="I26" s="490">
        <f t="shared" ref="I26:I28" si="7">F26*H26</f>
        <v>7271.4</v>
      </c>
      <c r="J26" s="1354"/>
      <c r="K26" s="247"/>
    </row>
    <row r="27" spans="1:13" ht="60" x14ac:dyDescent="0.2">
      <c r="A27" s="487" t="s">
        <v>673</v>
      </c>
      <c r="B27" s="492">
        <v>92212</v>
      </c>
      <c r="C27" s="492" t="s">
        <v>380</v>
      </c>
      <c r="D27" s="510" t="s">
        <v>615</v>
      </c>
      <c r="E27" s="492" t="s">
        <v>514</v>
      </c>
      <c r="F27" s="504">
        <f>'Mem. Calc.'!E25</f>
        <v>75</v>
      </c>
      <c r="G27" s="490">
        <v>171.58</v>
      </c>
      <c r="H27" s="490">
        <f t="shared" ref="H27" si="8">G27+G27*$J$6</f>
        <v>215.57</v>
      </c>
      <c r="I27" s="490">
        <f t="shared" ref="I27" si="9">F27*H27</f>
        <v>16167.75</v>
      </c>
      <c r="J27" s="1354"/>
      <c r="K27" s="247"/>
    </row>
    <row r="28" spans="1:13" ht="60" x14ac:dyDescent="0.2">
      <c r="A28" s="487" t="s">
        <v>674</v>
      </c>
      <c r="B28" s="492">
        <v>92214</v>
      </c>
      <c r="C28" s="492" t="s">
        <v>380</v>
      </c>
      <c r="D28" s="510" t="s">
        <v>416</v>
      </c>
      <c r="E28" s="492" t="s">
        <v>514</v>
      </c>
      <c r="F28" s="504">
        <f>'Mem. Calc.'!E26</f>
        <v>143</v>
      </c>
      <c r="G28" s="490">
        <v>271.16000000000003</v>
      </c>
      <c r="H28" s="490">
        <f t="shared" si="6"/>
        <v>340.69</v>
      </c>
      <c r="I28" s="490">
        <f t="shared" si="7"/>
        <v>48718.67</v>
      </c>
      <c r="J28" s="1354"/>
      <c r="K28" s="247"/>
    </row>
    <row r="29" spans="1:13" ht="15" customHeight="1" x14ac:dyDescent="0.2">
      <c r="A29" s="493"/>
      <c r="B29" s="494"/>
      <c r="C29" s="494"/>
      <c r="D29" s="502" t="s">
        <v>7</v>
      </c>
      <c r="E29" s="501"/>
      <c r="F29" s="503"/>
      <c r="G29" s="497"/>
      <c r="H29" s="497"/>
      <c r="I29" s="503">
        <f>SUM(I26:I28)</f>
        <v>72157.820000000007</v>
      </c>
      <c r="J29" s="1354"/>
      <c r="K29" s="7"/>
    </row>
    <row r="30" spans="1:13" ht="15" customHeight="1" x14ac:dyDescent="0.2">
      <c r="A30" s="493" t="s">
        <v>33</v>
      </c>
      <c r="B30" s="494"/>
      <c r="C30" s="494"/>
      <c r="D30" s="511" t="s">
        <v>51</v>
      </c>
      <c r="E30" s="501"/>
      <c r="F30" s="503"/>
      <c r="G30" s="497"/>
      <c r="H30" s="497"/>
      <c r="I30" s="503"/>
      <c r="J30" s="1354"/>
      <c r="K30" s="7"/>
    </row>
    <row r="31" spans="1:13" x14ac:dyDescent="0.2">
      <c r="A31" s="487" t="s">
        <v>675</v>
      </c>
      <c r="B31" s="931">
        <v>2003680</v>
      </c>
      <c r="C31" s="931" t="s">
        <v>381</v>
      </c>
      <c r="D31" s="932" t="s">
        <v>616</v>
      </c>
      <c r="E31" s="933" t="s">
        <v>49</v>
      </c>
      <c r="F31" s="504">
        <f>'Mem. Calc.'!E28</f>
        <v>1</v>
      </c>
      <c r="G31" s="490">
        <v>1584.63</v>
      </c>
      <c r="H31" s="490">
        <f t="shared" ref="H31:H35" si="10">G31+G31*$J$6</f>
        <v>1990.93</v>
      </c>
      <c r="I31" s="490">
        <f t="shared" ref="I31:I35" si="11">F31*H31</f>
        <v>1990.93</v>
      </c>
      <c r="J31" s="1354"/>
      <c r="K31" s="7"/>
    </row>
    <row r="32" spans="1:13" x14ac:dyDescent="0.2">
      <c r="A32" s="487" t="s">
        <v>676</v>
      </c>
      <c r="B32" s="931">
        <v>2003682</v>
      </c>
      <c r="C32" s="931" t="s">
        <v>381</v>
      </c>
      <c r="D32" s="932" t="s">
        <v>617</v>
      </c>
      <c r="E32" s="933" t="s">
        <v>49</v>
      </c>
      <c r="F32" s="504">
        <f>'Mem. Calc.'!E29</f>
        <v>2</v>
      </c>
      <c r="G32" s="490">
        <v>1825.78</v>
      </c>
      <c r="H32" s="490">
        <f t="shared" si="10"/>
        <v>2293.91</v>
      </c>
      <c r="I32" s="490">
        <f t="shared" si="11"/>
        <v>4587.82</v>
      </c>
      <c r="J32" s="1354"/>
      <c r="K32" s="7"/>
    </row>
    <row r="33" spans="1:12" ht="45" x14ac:dyDescent="0.2">
      <c r="A33" s="487" t="s">
        <v>677</v>
      </c>
      <c r="B33" s="890">
        <v>98051</v>
      </c>
      <c r="C33" s="492" t="s">
        <v>380</v>
      </c>
      <c r="D33" s="460" t="s">
        <v>568</v>
      </c>
      <c r="E33" s="492" t="s">
        <v>514</v>
      </c>
      <c r="F33" s="504">
        <f>'Mem. Calc.'!E30</f>
        <v>3</v>
      </c>
      <c r="G33" s="490">
        <v>760.42</v>
      </c>
      <c r="H33" s="490">
        <f t="shared" si="10"/>
        <v>955.39</v>
      </c>
      <c r="I33" s="490">
        <f t="shared" si="11"/>
        <v>2866.17</v>
      </c>
      <c r="J33" s="1354"/>
      <c r="K33" s="7"/>
    </row>
    <row r="34" spans="1:12" ht="60" x14ac:dyDescent="0.2">
      <c r="A34" s="487" t="s">
        <v>678</v>
      </c>
      <c r="B34" s="1371" t="str">
        <f>COMPOSIÇÕES!A92</f>
        <v>COMPOSIÇÃO 07</v>
      </c>
      <c r="C34" s="1372"/>
      <c r="D34" s="807" t="s">
        <v>509</v>
      </c>
      <c r="E34" s="492" t="s">
        <v>49</v>
      </c>
      <c r="F34" s="504">
        <f>'Mem. Calc.'!E31</f>
        <v>3</v>
      </c>
      <c r="G34" s="490">
        <f>COMPOSIÇÕES!F103</f>
        <v>473.42</v>
      </c>
      <c r="H34" s="490">
        <f t="shared" si="10"/>
        <v>594.79999999999995</v>
      </c>
      <c r="I34" s="490">
        <f t="shared" si="11"/>
        <v>1784.4</v>
      </c>
      <c r="J34" s="1354"/>
      <c r="K34" s="7"/>
    </row>
    <row r="35" spans="1:12" ht="45" x14ac:dyDescent="0.2">
      <c r="A35" s="487" t="s">
        <v>679</v>
      </c>
      <c r="B35" s="933">
        <v>83659</v>
      </c>
      <c r="C35" s="492" t="s">
        <v>380</v>
      </c>
      <c r="D35" s="934" t="s">
        <v>462</v>
      </c>
      <c r="E35" s="492" t="s">
        <v>49</v>
      </c>
      <c r="F35" s="504">
        <f>'Mem. Calc.'!E32</f>
        <v>2</v>
      </c>
      <c r="G35" s="490">
        <v>772.28</v>
      </c>
      <c r="H35" s="490">
        <f t="shared" si="10"/>
        <v>970.29</v>
      </c>
      <c r="I35" s="490">
        <f t="shared" si="11"/>
        <v>1940.58</v>
      </c>
      <c r="J35" s="1354"/>
      <c r="K35" s="7"/>
    </row>
    <row r="36" spans="1:12" ht="30" x14ac:dyDescent="0.2">
      <c r="A36" s="487" t="s">
        <v>680</v>
      </c>
      <c r="B36" s="933">
        <v>2003634</v>
      </c>
      <c r="C36" s="933" t="s">
        <v>381</v>
      </c>
      <c r="D36" s="935" t="s">
        <v>618</v>
      </c>
      <c r="E36" s="492" t="s">
        <v>49</v>
      </c>
      <c r="F36" s="504">
        <f>'Mem. Calc.'!E33</f>
        <v>4</v>
      </c>
      <c r="G36" s="490">
        <v>1445.31</v>
      </c>
      <c r="H36" s="490">
        <f t="shared" ref="H36" si="12">G36+G36*$J$6</f>
        <v>1815.89</v>
      </c>
      <c r="I36" s="490">
        <f t="shared" ref="I36" si="13">F36*H36</f>
        <v>7263.56</v>
      </c>
      <c r="J36" s="1354"/>
      <c r="K36" s="7"/>
    </row>
    <row r="37" spans="1:12" s="249" customFormat="1" ht="14.25" customHeight="1" x14ac:dyDescent="0.2">
      <c r="A37" s="493"/>
      <c r="B37" s="501"/>
      <c r="C37" s="501"/>
      <c r="D37" s="511" t="s">
        <v>7</v>
      </c>
      <c r="E37" s="501"/>
      <c r="F37" s="503"/>
      <c r="G37" s="497"/>
      <c r="H37" s="497"/>
      <c r="I37" s="503">
        <f>SUM(I31:I36)</f>
        <v>20433.46</v>
      </c>
      <c r="J37" s="1354"/>
      <c r="K37" s="248"/>
    </row>
    <row r="38" spans="1:12" s="249" customFormat="1" ht="14.25" customHeight="1" x14ac:dyDescent="0.2">
      <c r="A38" s="493" t="s">
        <v>34</v>
      </c>
      <c r="B38" s="501"/>
      <c r="C38" s="501"/>
      <c r="D38" s="511" t="s">
        <v>52</v>
      </c>
      <c r="E38" s="501"/>
      <c r="F38" s="502"/>
      <c r="G38" s="497"/>
      <c r="H38" s="497"/>
      <c r="I38" s="503"/>
      <c r="J38" s="1354"/>
      <c r="K38" s="248"/>
    </row>
    <row r="39" spans="1:12" ht="15" customHeight="1" x14ac:dyDescent="0.2">
      <c r="A39" s="487" t="s">
        <v>681</v>
      </c>
      <c r="B39" s="1341" t="str">
        <f>COMPOSIÇÕES!A76</f>
        <v>COMPOSIÇÃO 06</v>
      </c>
      <c r="C39" s="1342"/>
      <c r="D39" s="510" t="s">
        <v>54</v>
      </c>
      <c r="E39" s="492" t="s">
        <v>514</v>
      </c>
      <c r="F39" s="504">
        <f>'Mem. Calc.'!E36</f>
        <v>69.5</v>
      </c>
      <c r="G39" s="490">
        <f>COMPOSIÇÕES!F90</f>
        <v>20.68</v>
      </c>
      <c r="H39" s="490">
        <f>G39+G39*$J$6</f>
        <v>25.98</v>
      </c>
      <c r="I39" s="490">
        <f>F39*H39</f>
        <v>1805.61</v>
      </c>
      <c r="J39" s="1354"/>
      <c r="K39" s="7"/>
    </row>
    <row r="40" spans="1:12" s="249" customFormat="1" ht="14.25" customHeight="1" x14ac:dyDescent="0.2">
      <c r="A40" s="493"/>
      <c r="B40" s="494"/>
      <c r="C40" s="494"/>
      <c r="D40" s="502" t="s">
        <v>7</v>
      </c>
      <c r="E40" s="501"/>
      <c r="F40" s="503"/>
      <c r="G40" s="497"/>
      <c r="H40" s="497"/>
      <c r="I40" s="503">
        <f>SUM(I39)</f>
        <v>1805.61</v>
      </c>
      <c r="J40" s="1355"/>
      <c r="K40" s="248"/>
    </row>
    <row r="41" spans="1:12" x14ac:dyDescent="0.2">
      <c r="A41" s="481">
        <v>3</v>
      </c>
      <c r="B41" s="482"/>
      <c r="C41" s="482"/>
      <c r="D41" s="498" t="s">
        <v>688</v>
      </c>
      <c r="E41" s="512"/>
      <c r="F41" s="513"/>
      <c r="G41" s="485"/>
      <c r="H41" s="485"/>
      <c r="I41" s="514"/>
      <c r="J41" s="515"/>
      <c r="K41" s="7"/>
    </row>
    <row r="42" spans="1:12" x14ac:dyDescent="0.2">
      <c r="A42" s="493" t="s">
        <v>25</v>
      </c>
      <c r="B42" s="494"/>
      <c r="C42" s="494"/>
      <c r="D42" s="516" t="s">
        <v>338</v>
      </c>
      <c r="E42" s="516"/>
      <c r="F42" s="516"/>
      <c r="G42" s="497"/>
      <c r="H42" s="497"/>
      <c r="I42" s="517"/>
      <c r="J42" s="1343">
        <f>(SUM(I42:I70)/2)/I71</f>
        <v>0.92559999999999998</v>
      </c>
      <c r="K42" s="7"/>
    </row>
    <row r="43" spans="1:12" ht="45" x14ac:dyDescent="0.2">
      <c r="A43" s="487" t="s">
        <v>38</v>
      </c>
      <c r="B43" s="519" t="s">
        <v>141</v>
      </c>
      <c r="C43" s="492" t="s">
        <v>380</v>
      </c>
      <c r="D43" s="520" t="s">
        <v>142</v>
      </c>
      <c r="E43" s="521" t="s">
        <v>513</v>
      </c>
      <c r="F43" s="522">
        <f>'Mem. Calc.'!E39</f>
        <v>10813.88</v>
      </c>
      <c r="G43" s="490">
        <v>1.27</v>
      </c>
      <c r="H43" s="490">
        <f t="shared" ref="H43:H44" si="14">G43+G43*$J$6</f>
        <v>1.6</v>
      </c>
      <c r="I43" s="490">
        <f t="shared" ref="I43:I44" si="15">F43*H43</f>
        <v>17302.21</v>
      </c>
      <c r="J43" s="1344"/>
      <c r="K43" s="7"/>
    </row>
    <row r="44" spans="1:12" ht="30" x14ac:dyDescent="0.2">
      <c r="A44" s="487" t="s">
        <v>551</v>
      </c>
      <c r="B44" s="492">
        <v>97913</v>
      </c>
      <c r="C44" s="492" t="s">
        <v>380</v>
      </c>
      <c r="D44" s="491" t="s">
        <v>511</v>
      </c>
      <c r="E44" s="811" t="s">
        <v>515</v>
      </c>
      <c r="F44" s="518">
        <f>'Mem. Calc.'!E40</f>
        <v>21627.77</v>
      </c>
      <c r="G44" s="490">
        <v>1.64</v>
      </c>
      <c r="H44" s="490">
        <f t="shared" si="14"/>
        <v>2.06</v>
      </c>
      <c r="I44" s="490">
        <f t="shared" si="15"/>
        <v>44553.21</v>
      </c>
      <c r="J44" s="1344"/>
      <c r="K44" s="7"/>
    </row>
    <row r="45" spans="1:12" x14ac:dyDescent="0.2">
      <c r="A45" s="523"/>
      <c r="B45" s="524"/>
      <c r="C45" s="524"/>
      <c r="D45" s="525" t="s">
        <v>7</v>
      </c>
      <c r="E45" s="526"/>
      <c r="F45" s="527"/>
      <c r="G45" s="528"/>
      <c r="H45" s="528"/>
      <c r="I45" s="527">
        <f>SUM(I43:I44)</f>
        <v>61855.42</v>
      </c>
      <c r="J45" s="1344"/>
      <c r="K45" s="7"/>
    </row>
    <row r="46" spans="1:12" x14ac:dyDescent="0.2">
      <c r="A46" s="493" t="s">
        <v>26</v>
      </c>
      <c r="B46" s="494"/>
      <c r="C46" s="494"/>
      <c r="D46" s="516" t="s">
        <v>42</v>
      </c>
      <c r="E46" s="516"/>
      <c r="F46" s="516"/>
      <c r="G46" s="497"/>
      <c r="H46" s="497"/>
      <c r="I46" s="517"/>
      <c r="J46" s="1344"/>
      <c r="K46" s="7"/>
    </row>
    <row r="47" spans="1:12" ht="30" x14ac:dyDescent="0.2">
      <c r="A47" s="487" t="s">
        <v>151</v>
      </c>
      <c r="B47" s="492" t="s">
        <v>639</v>
      </c>
      <c r="C47" s="492" t="s">
        <v>380</v>
      </c>
      <c r="D47" s="491" t="s">
        <v>104</v>
      </c>
      <c r="E47" s="462" t="s">
        <v>6</v>
      </c>
      <c r="F47" s="518">
        <f>'Mem. Calc.'!E42</f>
        <v>35544.5</v>
      </c>
      <c r="G47" s="490">
        <f>COMPOSIÇÕES!F19</f>
        <v>1.22</v>
      </c>
      <c r="H47" s="490">
        <f t="shared" ref="H47:H56" si="16">G47+G47*$J$6</f>
        <v>1.53</v>
      </c>
      <c r="I47" s="490">
        <f t="shared" ref="I47:I56" si="17">F47*H47</f>
        <v>54383.09</v>
      </c>
      <c r="J47" s="1344"/>
      <c r="K47" s="7"/>
    </row>
    <row r="48" spans="1:12" ht="30" x14ac:dyDescent="0.2">
      <c r="A48" s="487" t="s">
        <v>152</v>
      </c>
      <c r="B48" s="492">
        <v>93594</v>
      </c>
      <c r="C48" s="492" t="s">
        <v>380</v>
      </c>
      <c r="D48" s="520" t="s">
        <v>738</v>
      </c>
      <c r="E48" s="811" t="s">
        <v>515</v>
      </c>
      <c r="F48" s="518">
        <f>'Mem. Calc.'!E43</f>
        <v>83174.210000000006</v>
      </c>
      <c r="G48" s="490">
        <v>0.8</v>
      </c>
      <c r="H48" s="490">
        <f t="shared" si="16"/>
        <v>1.01</v>
      </c>
      <c r="I48" s="490">
        <f t="shared" si="17"/>
        <v>84005.95</v>
      </c>
      <c r="J48" s="1344"/>
      <c r="K48" s="7"/>
      <c r="L48" s="356">
        <v>11000000</v>
      </c>
    </row>
    <row r="49" spans="1:13" ht="45" x14ac:dyDescent="0.2">
      <c r="A49" s="487" t="s">
        <v>153</v>
      </c>
      <c r="B49" s="492">
        <v>93590</v>
      </c>
      <c r="C49" s="492" t="s">
        <v>380</v>
      </c>
      <c r="D49" s="520" t="s">
        <v>736</v>
      </c>
      <c r="E49" s="811" t="s">
        <v>515</v>
      </c>
      <c r="F49" s="518">
        <f>'Mem. Calc.'!E44</f>
        <v>348052.08</v>
      </c>
      <c r="G49" s="490">
        <v>0.49</v>
      </c>
      <c r="H49" s="490">
        <f t="shared" ref="H49" si="18">G49+G49*$J$6</f>
        <v>0.62</v>
      </c>
      <c r="I49" s="490">
        <f t="shared" ref="I49" si="19">F49*H49</f>
        <v>215792.29</v>
      </c>
      <c r="J49" s="1344"/>
      <c r="K49" s="7"/>
      <c r="L49" s="356"/>
    </row>
    <row r="50" spans="1:13" ht="45" x14ac:dyDescent="0.2">
      <c r="A50" s="487" t="s">
        <v>587</v>
      </c>
      <c r="B50" s="492" t="str">
        <f>COMPOSIÇÕES!A22</f>
        <v>COMPOSIÇÃO 02</v>
      </c>
      <c r="C50" s="492" t="s">
        <v>380</v>
      </c>
      <c r="D50" s="520" t="s">
        <v>570</v>
      </c>
      <c r="E50" s="462" t="s">
        <v>31</v>
      </c>
      <c r="F50" s="518">
        <f>'Mem. Calc.'!E45</f>
        <v>5331.68</v>
      </c>
      <c r="G50" s="490">
        <f>COMPOSIÇÕES!F36</f>
        <v>5.99</v>
      </c>
      <c r="H50" s="490">
        <f t="shared" si="16"/>
        <v>7.53</v>
      </c>
      <c r="I50" s="490">
        <f t="shared" si="17"/>
        <v>40147.550000000003</v>
      </c>
      <c r="J50" s="1344"/>
      <c r="K50" s="7"/>
      <c r="L50" s="847">
        <v>0.17</v>
      </c>
    </row>
    <row r="51" spans="1:13" ht="45" x14ac:dyDescent="0.2">
      <c r="A51" s="487" t="s">
        <v>588</v>
      </c>
      <c r="B51" s="492" t="str">
        <f>B50</f>
        <v>COMPOSIÇÃO 02</v>
      </c>
      <c r="C51" s="492" t="s">
        <v>380</v>
      </c>
      <c r="D51" s="520" t="s">
        <v>569</v>
      </c>
      <c r="E51" s="462" t="s">
        <v>31</v>
      </c>
      <c r="F51" s="518">
        <f>'Mem. Calc.'!E46</f>
        <v>5331.68</v>
      </c>
      <c r="G51" s="490">
        <f>G50</f>
        <v>5.99</v>
      </c>
      <c r="H51" s="490">
        <f t="shared" si="16"/>
        <v>7.53</v>
      </c>
      <c r="I51" s="490">
        <f t="shared" si="17"/>
        <v>40147.550000000003</v>
      </c>
      <c r="J51" s="1344"/>
      <c r="K51" s="7"/>
      <c r="L51" s="356">
        <f>L50*L48</f>
        <v>1870000</v>
      </c>
    </row>
    <row r="52" spans="1:13" ht="15" customHeight="1" x14ac:dyDescent="0.2">
      <c r="A52" s="487" t="s">
        <v>589</v>
      </c>
      <c r="B52" s="983">
        <v>96401</v>
      </c>
      <c r="C52" s="492" t="s">
        <v>380</v>
      </c>
      <c r="D52" s="520" t="s">
        <v>781</v>
      </c>
      <c r="E52" s="519" t="s">
        <v>512</v>
      </c>
      <c r="F52" s="518">
        <f>'Mem. Calc.'!E47</f>
        <v>31131.72</v>
      </c>
      <c r="G52" s="490">
        <v>6.46</v>
      </c>
      <c r="H52" s="490">
        <f t="shared" si="16"/>
        <v>8.1199999999999992</v>
      </c>
      <c r="I52" s="490">
        <f t="shared" si="17"/>
        <v>252789.57</v>
      </c>
      <c r="J52" s="1344"/>
      <c r="K52" s="7"/>
      <c r="L52" s="356">
        <f>L48-L51</f>
        <v>9130000</v>
      </c>
    </row>
    <row r="53" spans="1:13" ht="45" x14ac:dyDescent="0.2">
      <c r="A53" s="487" t="s">
        <v>590</v>
      </c>
      <c r="B53" s="983">
        <v>95995</v>
      </c>
      <c r="C53" s="975" t="s">
        <v>380</v>
      </c>
      <c r="D53" s="520" t="s">
        <v>663</v>
      </c>
      <c r="E53" s="519" t="s">
        <v>613</v>
      </c>
      <c r="F53" s="518">
        <f>'Mem. Calc.'!E48</f>
        <v>933.95</v>
      </c>
      <c r="G53" s="490">
        <v>901.74</v>
      </c>
      <c r="H53" s="490">
        <f t="shared" si="16"/>
        <v>1132.95</v>
      </c>
      <c r="I53" s="490">
        <f t="shared" si="17"/>
        <v>1058118.6499999999</v>
      </c>
      <c r="J53" s="1344"/>
      <c r="K53" s="7"/>
    </row>
    <row r="54" spans="1:13" ht="30" x14ac:dyDescent="0.2">
      <c r="A54" s="487" t="s">
        <v>591</v>
      </c>
      <c r="B54" s="983">
        <v>96402</v>
      </c>
      <c r="C54" s="975" t="s">
        <v>380</v>
      </c>
      <c r="D54" s="520" t="s">
        <v>664</v>
      </c>
      <c r="E54" s="519" t="s">
        <v>613</v>
      </c>
      <c r="F54" s="518">
        <f>'Mem. Calc.'!E49</f>
        <v>31131.72</v>
      </c>
      <c r="G54" s="490">
        <v>1.45</v>
      </c>
      <c r="H54" s="490">
        <f t="shared" si="16"/>
        <v>1.82</v>
      </c>
      <c r="I54" s="490">
        <f t="shared" si="17"/>
        <v>56659.73</v>
      </c>
      <c r="J54" s="1344"/>
      <c r="K54" s="7"/>
    </row>
    <row r="55" spans="1:13" ht="60" x14ac:dyDescent="0.2">
      <c r="A55" s="487" t="s">
        <v>592</v>
      </c>
      <c r="B55" s="507">
        <v>93176</v>
      </c>
      <c r="C55" s="507" t="s">
        <v>380</v>
      </c>
      <c r="D55" s="520" t="s">
        <v>686</v>
      </c>
      <c r="E55" s="521" t="s">
        <v>241</v>
      </c>
      <c r="F55" s="518">
        <f>'Mem. Calc.'!E50</f>
        <v>40905</v>
      </c>
      <c r="G55" s="490">
        <v>0.47</v>
      </c>
      <c r="H55" s="490">
        <f t="shared" ref="H55" si="20">G55+G55*$J$6</f>
        <v>0.59</v>
      </c>
      <c r="I55" s="490">
        <f t="shared" ref="I55" si="21">F55*H55</f>
        <v>24133.95</v>
      </c>
      <c r="J55" s="1344"/>
      <c r="K55" s="7"/>
    </row>
    <row r="56" spans="1:13" ht="30" x14ac:dyDescent="0.2">
      <c r="A56" s="487" t="s">
        <v>593</v>
      </c>
      <c r="B56" s="507">
        <v>83356</v>
      </c>
      <c r="C56" s="492" t="s">
        <v>380</v>
      </c>
      <c r="D56" s="520" t="s">
        <v>682</v>
      </c>
      <c r="E56" s="521" t="s">
        <v>571</v>
      </c>
      <c r="F56" s="518">
        <f>'Mem. Calc.'!E51</f>
        <v>78077.84</v>
      </c>
      <c r="G56" s="490">
        <v>0.63</v>
      </c>
      <c r="H56" s="490">
        <f t="shared" si="16"/>
        <v>0.79</v>
      </c>
      <c r="I56" s="490">
        <f t="shared" si="17"/>
        <v>61681.49</v>
      </c>
      <c r="J56" s="1344"/>
      <c r="K56" s="7"/>
    </row>
    <row r="57" spans="1:13" x14ac:dyDescent="0.2">
      <c r="A57" s="487" t="s">
        <v>691</v>
      </c>
      <c r="B57" s="507">
        <v>83356</v>
      </c>
      <c r="C57" s="971" t="s">
        <v>380</v>
      </c>
      <c r="D57" s="520" t="s">
        <v>665</v>
      </c>
      <c r="E57" s="521" t="s">
        <v>571</v>
      </c>
      <c r="F57" s="518">
        <f>'Mem. Calc.'!E52</f>
        <v>747.18</v>
      </c>
      <c r="G57" s="490">
        <v>0.63</v>
      </c>
      <c r="H57" s="490">
        <f t="shared" ref="H57" si="22">G57+G57*$J$6</f>
        <v>0.79</v>
      </c>
      <c r="I57" s="490">
        <f t="shared" ref="I57" si="23">F57*H57</f>
        <v>590.27</v>
      </c>
      <c r="J57" s="1344"/>
      <c r="K57" s="7"/>
    </row>
    <row r="58" spans="1:13" ht="45" x14ac:dyDescent="0.2">
      <c r="A58" s="487" t="s">
        <v>737</v>
      </c>
      <c r="B58" s="507">
        <v>93596</v>
      </c>
      <c r="C58" s="977" t="s">
        <v>380</v>
      </c>
      <c r="D58" s="520" t="s">
        <v>692</v>
      </c>
      <c r="E58" s="521" t="s">
        <v>241</v>
      </c>
      <c r="F58" s="518">
        <f>'Mem. Calc.'!E53</f>
        <v>22414.799999999999</v>
      </c>
      <c r="G58" s="490">
        <v>0.33</v>
      </c>
      <c r="H58" s="490">
        <f t="shared" ref="H58" si="24">G58+G58*$J$6</f>
        <v>0.41</v>
      </c>
      <c r="I58" s="490">
        <f t="shared" ref="I58" si="25">F58*H58</f>
        <v>9190.07</v>
      </c>
      <c r="J58" s="1344"/>
      <c r="K58" s="7"/>
    </row>
    <row r="59" spans="1:13" x14ac:dyDescent="0.2">
      <c r="A59" s="493"/>
      <c r="B59" s="501"/>
      <c r="C59" s="501"/>
      <c r="D59" s="502" t="s">
        <v>7</v>
      </c>
      <c r="E59" s="501"/>
      <c r="F59" s="503"/>
      <c r="G59" s="497"/>
      <c r="H59" s="497"/>
      <c r="I59" s="503">
        <f>SUM(I47:I58)</f>
        <v>1897640.16</v>
      </c>
      <c r="J59" s="1344"/>
      <c r="K59" s="7"/>
    </row>
    <row r="60" spans="1:13" x14ac:dyDescent="0.2">
      <c r="A60" s="493" t="s">
        <v>27</v>
      </c>
      <c r="B60" s="494"/>
      <c r="C60" s="494"/>
      <c r="D60" s="511" t="s">
        <v>375</v>
      </c>
      <c r="E60" s="501"/>
      <c r="F60" s="502"/>
      <c r="G60" s="497"/>
      <c r="H60" s="497"/>
      <c r="I60" s="517"/>
      <c r="J60" s="1344"/>
      <c r="K60" s="7"/>
    </row>
    <row r="61" spans="1:13" ht="57" x14ac:dyDescent="0.2">
      <c r="A61" s="487" t="s">
        <v>39</v>
      </c>
      <c r="B61" s="899">
        <v>94267</v>
      </c>
      <c r="C61" s="492" t="s">
        <v>380</v>
      </c>
      <c r="D61" s="898" t="s">
        <v>572</v>
      </c>
      <c r="E61" s="492" t="s">
        <v>5</v>
      </c>
      <c r="F61" s="504">
        <f>'Mem. Calc.'!E55</f>
        <v>8879.56</v>
      </c>
      <c r="G61" s="490">
        <v>35.049999999999997</v>
      </c>
      <c r="H61" s="490">
        <f t="shared" ref="H61:H63" si="26">G61+G61*$J$6</f>
        <v>44.04</v>
      </c>
      <c r="I61" s="490">
        <f t="shared" ref="I61:I63" si="27">F61*H61</f>
        <v>391055.82</v>
      </c>
      <c r="J61" s="1344"/>
      <c r="K61" s="7"/>
      <c r="M61" s="356"/>
    </row>
    <row r="62" spans="1:13" ht="57" x14ac:dyDescent="0.2">
      <c r="A62" s="487" t="s">
        <v>154</v>
      </c>
      <c r="B62" s="899">
        <v>94268</v>
      </c>
      <c r="C62" s="492" t="s">
        <v>380</v>
      </c>
      <c r="D62" s="898" t="s">
        <v>573</v>
      </c>
      <c r="E62" s="492" t="s">
        <v>5</v>
      </c>
      <c r="F62" s="504">
        <f>'Mem. Calc.'!E56</f>
        <v>320.33</v>
      </c>
      <c r="G62" s="490">
        <v>42.6</v>
      </c>
      <c r="H62" s="490">
        <f t="shared" si="26"/>
        <v>53.52</v>
      </c>
      <c r="I62" s="490">
        <f t="shared" si="27"/>
        <v>17144.060000000001</v>
      </c>
      <c r="J62" s="1344"/>
      <c r="K62" s="7"/>
      <c r="M62" s="356"/>
    </row>
    <row r="63" spans="1:13" ht="30" x14ac:dyDescent="0.2">
      <c r="A63" s="487" t="s">
        <v>242</v>
      </c>
      <c r="B63" s="492">
        <v>94098</v>
      </c>
      <c r="C63" s="492" t="s">
        <v>380</v>
      </c>
      <c r="D63" s="510" t="s">
        <v>407</v>
      </c>
      <c r="E63" s="492" t="s">
        <v>6</v>
      </c>
      <c r="F63" s="504">
        <v>4207.0200000000004</v>
      </c>
      <c r="G63" s="490">
        <v>4.7699999999999996</v>
      </c>
      <c r="H63" s="490">
        <f t="shared" si="26"/>
        <v>5.99</v>
      </c>
      <c r="I63" s="490">
        <f t="shared" si="27"/>
        <v>25200.05</v>
      </c>
      <c r="J63" s="1344"/>
      <c r="K63" s="7"/>
      <c r="M63" s="356"/>
    </row>
    <row r="64" spans="1:13" x14ac:dyDescent="0.2">
      <c r="A64" s="523"/>
      <c r="B64" s="494"/>
      <c r="C64" s="494"/>
      <c r="D64" s="502" t="s">
        <v>7</v>
      </c>
      <c r="E64" s="501"/>
      <c r="F64" s="503"/>
      <c r="G64" s="497"/>
      <c r="H64" s="497"/>
      <c r="I64" s="503">
        <f>+SUM(I61:I63)</f>
        <v>433399.93</v>
      </c>
      <c r="J64" s="1344"/>
      <c r="K64" s="7"/>
      <c r="M64" s="356"/>
    </row>
    <row r="65" spans="1:14" x14ac:dyDescent="0.2">
      <c r="A65" s="493" t="s">
        <v>28</v>
      </c>
      <c r="B65" s="494"/>
      <c r="C65" s="494"/>
      <c r="D65" s="516" t="s">
        <v>135</v>
      </c>
      <c r="E65" s="516"/>
      <c r="F65" s="516"/>
      <c r="G65" s="497"/>
      <c r="H65" s="497"/>
      <c r="I65" s="517"/>
      <c r="J65" s="1344"/>
      <c r="K65" s="7"/>
      <c r="M65" s="356"/>
    </row>
    <row r="66" spans="1:14" ht="30" x14ac:dyDescent="0.2">
      <c r="A66" s="506" t="s">
        <v>40</v>
      </c>
      <c r="B66" s="1341" t="str">
        <f>COMPOSIÇÕES!A38</f>
        <v>COMPOSIÇÃO 03</v>
      </c>
      <c r="C66" s="1342"/>
      <c r="D66" s="508" t="s">
        <v>531</v>
      </c>
      <c r="E66" s="507" t="s">
        <v>49</v>
      </c>
      <c r="F66" s="529">
        <f>'Mem. Calc.'!E59</f>
        <v>149</v>
      </c>
      <c r="G66" s="490">
        <f>COMPOSIÇÕES!F50</f>
        <v>89.53</v>
      </c>
      <c r="H66" s="490">
        <f t="shared" ref="H66:H69" si="28">G66+G66*$J$6</f>
        <v>112.49</v>
      </c>
      <c r="I66" s="490">
        <f t="shared" ref="I66:I69" si="29">F66*H66</f>
        <v>16761.009999999998</v>
      </c>
      <c r="J66" s="1344"/>
      <c r="K66" s="7"/>
      <c r="M66" s="356"/>
    </row>
    <row r="67" spans="1:14" ht="30" x14ac:dyDescent="0.2">
      <c r="A67" s="506" t="s">
        <v>594</v>
      </c>
      <c r="B67" s="1341" t="str">
        <f>COMPOSIÇÕES!A52</f>
        <v>COMPOSIÇÃO 04</v>
      </c>
      <c r="C67" s="1342"/>
      <c r="D67" s="508" t="s">
        <v>541</v>
      </c>
      <c r="E67" s="507" t="s">
        <v>512</v>
      </c>
      <c r="F67" s="529">
        <f>'Mem. Calc.'!E60</f>
        <v>26.3</v>
      </c>
      <c r="G67" s="490">
        <f>COMPOSIÇÕES!F62</f>
        <v>699.47</v>
      </c>
      <c r="H67" s="490">
        <f t="shared" si="28"/>
        <v>878.81</v>
      </c>
      <c r="I67" s="490">
        <f t="shared" si="29"/>
        <v>23112.7</v>
      </c>
      <c r="J67" s="1344"/>
      <c r="K67" s="7"/>
      <c r="M67" s="356"/>
    </row>
    <row r="68" spans="1:14" ht="30" x14ac:dyDescent="0.2">
      <c r="A68" s="506" t="s">
        <v>595</v>
      </c>
      <c r="B68" s="1341" t="str">
        <f>COMPOSIÇÕES!A64</f>
        <v>COMPOSIÇÃO 05</v>
      </c>
      <c r="C68" s="1342"/>
      <c r="D68" s="508" t="s">
        <v>522</v>
      </c>
      <c r="E68" s="507" t="s">
        <v>49</v>
      </c>
      <c r="F68" s="529">
        <f>'Mem. Calc.'!E61</f>
        <v>39</v>
      </c>
      <c r="G68" s="490">
        <f>COMPOSIÇÕES!F74</f>
        <v>204.47</v>
      </c>
      <c r="H68" s="490">
        <f t="shared" si="28"/>
        <v>256.89999999999998</v>
      </c>
      <c r="I68" s="490">
        <f t="shared" si="29"/>
        <v>10019.1</v>
      </c>
      <c r="J68" s="1344"/>
      <c r="K68" s="7"/>
      <c r="M68" s="260"/>
    </row>
    <row r="69" spans="1:14" ht="30" x14ac:dyDescent="0.2">
      <c r="A69" s="506" t="s">
        <v>596</v>
      </c>
      <c r="B69" s="492">
        <v>5213400</v>
      </c>
      <c r="C69" s="971" t="s">
        <v>381</v>
      </c>
      <c r="D69" s="508" t="s">
        <v>687</v>
      </c>
      <c r="E69" s="507" t="s">
        <v>512</v>
      </c>
      <c r="F69" s="529">
        <f>'Mem. Calc.'!E62</f>
        <v>2696.73</v>
      </c>
      <c r="G69" s="490">
        <v>18.43</v>
      </c>
      <c r="H69" s="490">
        <f t="shared" si="28"/>
        <v>23.16</v>
      </c>
      <c r="I69" s="490">
        <f t="shared" si="29"/>
        <v>62456.27</v>
      </c>
      <c r="J69" s="1344"/>
      <c r="K69" s="7"/>
    </row>
    <row r="70" spans="1:14" x14ac:dyDescent="0.2">
      <c r="A70" s="493"/>
      <c r="B70" s="494"/>
      <c r="C70" s="494"/>
      <c r="D70" s="502" t="s">
        <v>7</v>
      </c>
      <c r="E70" s="501"/>
      <c r="F70" s="503"/>
      <c r="G70" s="497"/>
      <c r="H70" s="497"/>
      <c r="I70" s="503">
        <f>SUM(I66:I69)</f>
        <v>112349.08</v>
      </c>
      <c r="J70" s="1345"/>
      <c r="K70" s="7"/>
    </row>
    <row r="71" spans="1:14" ht="19.5" thickBot="1" x14ac:dyDescent="0.25">
      <c r="A71" s="1346" t="s">
        <v>149</v>
      </c>
      <c r="B71" s="1347"/>
      <c r="C71" s="1347"/>
      <c r="D71" s="1347"/>
      <c r="E71" s="1347"/>
      <c r="F71" s="1347"/>
      <c r="G71" s="1347"/>
      <c r="H71" s="891"/>
      <c r="I71" s="530">
        <f>SUM(I10:I70)/2</f>
        <v>2706527.72</v>
      </c>
      <c r="J71" s="531">
        <f>J42+J10+J17</f>
        <v>1</v>
      </c>
      <c r="L71" s="356"/>
      <c r="M71" s="356"/>
    </row>
    <row r="72" spans="1:14" x14ac:dyDescent="0.2">
      <c r="L72" s="260"/>
    </row>
    <row r="74" spans="1:14" x14ac:dyDescent="0.2">
      <c r="A74" s="245"/>
      <c r="B74" s="896" t="str">
        <f>Terrap.!B26</f>
        <v>Robson Darcio Sousa</v>
      </c>
      <c r="C74" s="245"/>
      <c r="L74" s="263"/>
      <c r="M74" s="260"/>
    </row>
    <row r="75" spans="1:14" x14ac:dyDescent="0.2">
      <c r="A75" s="245"/>
      <c r="B75" s="896" t="str">
        <f>Terrap.!B27</f>
        <v>ENGº CIVIL</v>
      </c>
      <c r="C75" s="245"/>
      <c r="L75" s="263"/>
      <c r="N75" s="260"/>
    </row>
    <row r="76" spans="1:14" x14ac:dyDescent="0.2">
      <c r="A76" s="245"/>
      <c r="B76" s="896" t="str">
        <f>Terrap.!B28</f>
        <v>Crea: 120.263.916-0</v>
      </c>
      <c r="C76" s="245"/>
      <c r="I76" s="970"/>
      <c r="L76" s="260"/>
    </row>
    <row r="77" spans="1:14" x14ac:dyDescent="0.2">
      <c r="A77" s="245"/>
      <c r="B77" s="245"/>
      <c r="C77" s="245"/>
    </row>
    <row r="78" spans="1:14" x14ac:dyDescent="0.2">
      <c r="A78" s="245"/>
      <c r="B78" s="245"/>
      <c r="C78" s="245"/>
    </row>
    <row r="80" spans="1:14" x14ac:dyDescent="0.2">
      <c r="I80" s="970"/>
    </row>
    <row r="81" spans="9:9" x14ac:dyDescent="0.2">
      <c r="I81" s="970"/>
    </row>
    <row r="82" spans="9:9" x14ac:dyDescent="0.2">
      <c r="I82" s="970"/>
    </row>
    <row r="83" spans="9:9" x14ac:dyDescent="0.2">
      <c r="I83" s="970"/>
    </row>
    <row r="84" spans="9:9" x14ac:dyDescent="0.2">
      <c r="I84" s="970"/>
    </row>
  </sheetData>
  <mergeCells count="20">
    <mergeCell ref="A1:J1"/>
    <mergeCell ref="A2:J2"/>
    <mergeCell ref="J17:J40"/>
    <mergeCell ref="F3:F5"/>
    <mergeCell ref="B6:E6"/>
    <mergeCell ref="J10:J15"/>
    <mergeCell ref="G3:J5"/>
    <mergeCell ref="B3:E3"/>
    <mergeCell ref="B4:E4"/>
    <mergeCell ref="B5:E5"/>
    <mergeCell ref="A7:J7"/>
    <mergeCell ref="G6:H6"/>
    <mergeCell ref="B10:C10"/>
    <mergeCell ref="B34:C34"/>
    <mergeCell ref="B68:C68"/>
    <mergeCell ref="B39:C39"/>
    <mergeCell ref="J42:J70"/>
    <mergeCell ref="A71:G71"/>
    <mergeCell ref="B66:C66"/>
    <mergeCell ref="B67:C67"/>
  </mergeCells>
  <phoneticPr fontId="0" type="noConversion"/>
  <conditionalFormatting sqref="D61:D62">
    <cfRule type="cellIs" dxfId="1" priority="2" stopIfTrue="1" operator="equal">
      <formula>0</formula>
    </cfRule>
  </conditionalFormatting>
  <conditionalFormatting sqref="B61:B62">
    <cfRule type="cellIs" dxfId="0" priority="1" stopIfTrue="1" operator="equal">
      <formula>0</formula>
    </cfRule>
  </conditionalFormatting>
  <pageMargins left="0.19685039370078741" right="0.19685039370078741" top="0.78740157480314965" bottom="0.39370078740157483" header="0.31496062992125984" footer="0.31496062992125984"/>
  <pageSetup paperSize="9" scale="76" fitToHeight="0" orientation="landscape" r:id="rId1"/>
  <headerFooter alignWithMargins="0"/>
  <rowBreaks count="4" manualBreakCount="4">
    <brk id="21" max="9" man="1"/>
    <brk id="33" max="9" man="1"/>
    <brk id="50" max="9" man="1"/>
    <brk id="64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FFFF00"/>
    <pageSetUpPr fitToPage="1"/>
  </sheetPr>
  <dimension ref="A1:H79"/>
  <sheetViews>
    <sheetView view="pageBreakPreview" zoomScaleSheetLayoutView="100" workbookViewId="0">
      <selection activeCell="H27" sqref="H27"/>
    </sheetView>
  </sheetViews>
  <sheetFormatPr defaultColWidth="9.140625" defaultRowHeight="12.75" x14ac:dyDescent="0.2"/>
  <cols>
    <col min="1" max="1" width="10" style="108" customWidth="1"/>
    <col min="2" max="2" width="62.42578125" style="108" customWidth="1"/>
    <col min="3" max="3" width="15.5703125" style="108" customWidth="1"/>
    <col min="4" max="4" width="14.28515625" style="108" customWidth="1"/>
    <col min="5" max="5" width="16.5703125" style="108" customWidth="1"/>
    <col min="6" max="6" width="13.140625" style="108" customWidth="1"/>
    <col min="7" max="7" width="13.85546875" style="108" customWidth="1"/>
    <col min="8" max="8" width="9.28515625" style="108" bestFit="1" customWidth="1"/>
    <col min="9" max="16384" width="9.140625" style="108"/>
  </cols>
  <sheetData>
    <row r="1" spans="1:6" ht="18.75" x14ac:dyDescent="0.2">
      <c r="A1" s="1280" t="str">
        <f>Terrap.!A1</f>
        <v>ESTADO DE MATO GROSSO</v>
      </c>
      <c r="B1" s="1281"/>
      <c r="C1" s="1281"/>
      <c r="D1" s="1281"/>
      <c r="E1" s="1281"/>
      <c r="F1" s="1282"/>
    </row>
    <row r="2" spans="1:6" ht="18.75" x14ac:dyDescent="0.2">
      <c r="A2" s="1283" t="str">
        <f>Terrap.!A2</f>
        <v xml:space="preserve">PREFEITURA MUNICIPAL DE BARRA DO BUGRES </v>
      </c>
      <c r="B2" s="1284"/>
      <c r="C2" s="1284"/>
      <c r="D2" s="1284"/>
      <c r="E2" s="1284"/>
      <c r="F2" s="1285"/>
    </row>
    <row r="3" spans="1:6" s="386" customFormat="1" ht="15" x14ac:dyDescent="0.2">
      <c r="A3" s="380" t="s">
        <v>8</v>
      </c>
      <c r="B3" s="410" t="str">
        <f>Terrap.!B3</f>
        <v xml:space="preserve">PAVIMENTAÇÃO ASFALTICA E DRENAGEM DE AGUAS PLUVIAIS </v>
      </c>
      <c r="C3" s="410"/>
      <c r="D3" s="1379" t="str">
        <f>Terrap.!H6</f>
        <v>TABELA:</v>
      </c>
      <c r="E3" s="1379"/>
      <c r="F3" s="258" t="str">
        <f>Terrap.!E6</f>
        <v>BDI:</v>
      </c>
    </row>
    <row r="4" spans="1:6" s="386" customFormat="1" ht="15" x14ac:dyDescent="0.2">
      <c r="A4" s="380" t="s">
        <v>22</v>
      </c>
      <c r="B4" s="410" t="str">
        <f>Terrap.!B4</f>
        <v>DIVERSAS RUAS - PERIMETRO URBANO</v>
      </c>
      <c r="C4" s="463" t="s">
        <v>362</v>
      </c>
      <c r="D4" s="1057" t="str">
        <f>Terrap.!I3</f>
        <v>SINAPI - JULHO / 2020    DESONERADO                                                                                                                           SICRO 10/2019</v>
      </c>
      <c r="E4" s="1057"/>
      <c r="F4" s="1292">
        <f>Terrap.!F6</f>
        <v>0.25640000000000002</v>
      </c>
    </row>
    <row r="5" spans="1:6" s="386" customFormat="1" ht="15" x14ac:dyDescent="0.2">
      <c r="A5" s="385" t="s">
        <v>58</v>
      </c>
      <c r="B5" s="410" t="str">
        <f>Terrap.!B5</f>
        <v xml:space="preserve">PREFEITURA MUNICIPAL DE BARRA DO BUGRES </v>
      </c>
      <c r="C5" s="1294" t="str">
        <f>Terrap.!F5</f>
        <v>AGOSTO 2020</v>
      </c>
      <c r="D5" s="1057"/>
      <c r="E5" s="1057"/>
      <c r="F5" s="1292"/>
    </row>
    <row r="6" spans="1:6" s="386" customFormat="1" ht="15.75" thickBot="1" x14ac:dyDescent="0.25">
      <c r="A6" s="382" t="s">
        <v>43</v>
      </c>
      <c r="B6" s="411">
        <f>Terrap.!B6</f>
        <v>31131.72</v>
      </c>
      <c r="C6" s="1295"/>
      <c r="D6" s="1059"/>
      <c r="E6" s="1059"/>
      <c r="F6" s="1293"/>
    </row>
    <row r="7" spans="1:6" ht="25.5" customHeight="1" thickBot="1" x14ac:dyDescent="0.25">
      <c r="A7" s="1287" t="s">
        <v>19</v>
      </c>
      <c r="B7" s="1288"/>
      <c r="C7" s="1288"/>
      <c r="D7" s="1288"/>
      <c r="E7" s="1378"/>
      <c r="F7" s="1289"/>
    </row>
    <row r="8" spans="1:6" ht="19.5" customHeight="1" x14ac:dyDescent="0.2">
      <c r="A8" s="583" t="s">
        <v>0</v>
      </c>
      <c r="B8" s="1377" t="s">
        <v>20</v>
      </c>
      <c r="C8" s="1377"/>
      <c r="D8" s="1377"/>
      <c r="E8" s="584" t="s">
        <v>21</v>
      </c>
      <c r="F8" s="585" t="s">
        <v>15</v>
      </c>
    </row>
    <row r="9" spans="1:6" ht="19.5" customHeight="1" x14ac:dyDescent="0.2">
      <c r="A9" s="586"/>
      <c r="B9" s="1374"/>
      <c r="C9" s="1374"/>
      <c r="D9" s="1374"/>
      <c r="E9" s="587"/>
      <c r="F9" s="588"/>
    </row>
    <row r="10" spans="1:6" ht="19.5" customHeight="1" x14ac:dyDescent="0.2">
      <c r="A10" s="589">
        <v>1</v>
      </c>
      <c r="B10" s="1376" t="str">
        <f>Orçam.!D9</f>
        <v>SERVIÇOS PRELIMINARES</v>
      </c>
      <c r="C10" s="1376"/>
      <c r="D10" s="1376"/>
      <c r="E10" s="590">
        <f>Orçam.!I15</f>
        <v>86773.52</v>
      </c>
      <c r="F10" s="591">
        <f>E10/E$24</f>
        <v>3.2099999999999997E-2</v>
      </c>
    </row>
    <row r="11" spans="1:6" ht="19.5" customHeight="1" x14ac:dyDescent="0.2">
      <c r="A11" s="592"/>
      <c r="B11" s="1374"/>
      <c r="C11" s="1374"/>
      <c r="D11" s="1374"/>
      <c r="E11" s="587"/>
      <c r="F11" s="591"/>
    </row>
    <row r="12" spans="1:6" ht="19.5" customHeight="1" x14ac:dyDescent="0.2">
      <c r="A12" s="589">
        <f>Orçam.!A16</f>
        <v>2</v>
      </c>
      <c r="B12" s="1376" t="str">
        <f>Orçam.!D16</f>
        <v>DRENAGEM DE ÁGUAS PLUVIAIS</v>
      </c>
      <c r="C12" s="1376"/>
      <c r="D12" s="1376"/>
      <c r="E12" s="587"/>
      <c r="F12" s="591"/>
    </row>
    <row r="13" spans="1:6" ht="19.5" customHeight="1" x14ac:dyDescent="0.2">
      <c r="A13" s="618" t="str">
        <f>Orçam.!A17</f>
        <v>2.1</v>
      </c>
      <c r="B13" s="1375" t="str">
        <f>Orçam.!D17</f>
        <v>MOVIMENTO DE TERRA</v>
      </c>
      <c r="C13" s="1375"/>
      <c r="D13" s="1375"/>
      <c r="E13" s="594">
        <f>Orçam.!I24</f>
        <v>20112.72</v>
      </c>
      <c r="F13" s="591">
        <f>E13/E$24</f>
        <v>7.4000000000000003E-3</v>
      </c>
    </row>
    <row r="14" spans="1:6" ht="19.5" customHeight="1" x14ac:dyDescent="0.2">
      <c r="A14" s="618" t="str">
        <f>Orçam.!A25</f>
        <v>2.2</v>
      </c>
      <c r="B14" s="1375" t="str">
        <f>Orçam.!D25</f>
        <v>FORNECIMENTO E ASSENTAMENTO DE TUBOS</v>
      </c>
      <c r="C14" s="1375"/>
      <c r="D14" s="1375"/>
      <c r="E14" s="594">
        <f>Orçam.!I29</f>
        <v>72157.820000000007</v>
      </c>
      <c r="F14" s="591">
        <f>E14/E$24</f>
        <v>2.6700000000000002E-2</v>
      </c>
    </row>
    <row r="15" spans="1:6" ht="19.5" customHeight="1" x14ac:dyDescent="0.2">
      <c r="A15" s="618" t="str">
        <f>Orçam.!A30</f>
        <v>2.3</v>
      </c>
      <c r="B15" s="1375" t="str">
        <f>Orçam.!D30</f>
        <v>ELEMENTOS AUXILIARES</v>
      </c>
      <c r="C15" s="1375"/>
      <c r="D15" s="1375"/>
      <c r="E15" s="594">
        <f>Orçam.!I37</f>
        <v>20433.46</v>
      </c>
      <c r="F15" s="591">
        <f>E15/E$24</f>
        <v>7.4999999999999997E-3</v>
      </c>
    </row>
    <row r="16" spans="1:6" ht="19.5" customHeight="1" x14ac:dyDescent="0.2">
      <c r="A16" s="618" t="str">
        <f>Orçam.!A38</f>
        <v>2.4</v>
      </c>
      <c r="B16" s="1375" t="str">
        <f>Orçam.!D38</f>
        <v>SINALIZAÇÃO</v>
      </c>
      <c r="C16" s="1375"/>
      <c r="D16" s="1375"/>
      <c r="E16" s="594">
        <f>Orçam.!I40</f>
        <v>1805.61</v>
      </c>
      <c r="F16" s="591">
        <f>E16/E$24</f>
        <v>6.9999999999999999E-4</v>
      </c>
    </row>
    <row r="17" spans="1:8" ht="19.5" customHeight="1" x14ac:dyDescent="0.2">
      <c r="A17" s="592"/>
      <c r="B17" s="1374"/>
      <c r="C17" s="1374"/>
      <c r="D17" s="1374"/>
      <c r="E17" s="594"/>
      <c r="F17" s="591"/>
    </row>
    <row r="18" spans="1:8" ht="19.5" customHeight="1" x14ac:dyDescent="0.2">
      <c r="A18" s="589">
        <f>Orçam.!$A$41</f>
        <v>3</v>
      </c>
      <c r="B18" s="1376" t="str">
        <f>Orçam.!D41</f>
        <v>PAVIMENTAÇÃO EM CBUQ</v>
      </c>
      <c r="C18" s="1376"/>
      <c r="D18" s="1376"/>
      <c r="E18" s="587"/>
      <c r="F18" s="591"/>
    </row>
    <row r="19" spans="1:8" ht="19.5" customHeight="1" x14ac:dyDescent="0.2">
      <c r="A19" s="593" t="str">
        <f>Orçam.!$A$42</f>
        <v>3.1</v>
      </c>
      <c r="B19" s="1374" t="str">
        <f>Orçam.!D42</f>
        <v>TERRAPLENAGEM</v>
      </c>
      <c r="C19" s="1374"/>
      <c r="D19" s="1374"/>
      <c r="E19" s="595">
        <f>Orçam.!I45</f>
        <v>61855.42</v>
      </c>
      <c r="F19" s="591">
        <f>E19/E$24</f>
        <v>2.29E-2</v>
      </c>
    </row>
    <row r="20" spans="1:8" ht="19.5" customHeight="1" x14ac:dyDescent="0.2">
      <c r="A20" s="593" t="str">
        <f>Orçam.!$A$46</f>
        <v>3.2</v>
      </c>
      <c r="B20" s="1374" t="str">
        <f>Orçam.!D46</f>
        <v>PAVIMENTAÇÃO</v>
      </c>
      <c r="C20" s="1374"/>
      <c r="D20" s="1374"/>
      <c r="E20" s="594">
        <f>Orçam.!I59</f>
        <v>1897640.16</v>
      </c>
      <c r="F20" s="591">
        <f>E20/E$24</f>
        <v>0.70109999999999995</v>
      </c>
    </row>
    <row r="21" spans="1:8" ht="19.5" customHeight="1" x14ac:dyDescent="0.2">
      <c r="A21" s="593" t="str">
        <f>Orçam.!$A$60</f>
        <v>3.3</v>
      </c>
      <c r="B21" s="1374" t="str">
        <f>Orçam.!D60</f>
        <v>OBRAS COMPLEMENTARES</v>
      </c>
      <c r="C21" s="1374"/>
      <c r="D21" s="1374"/>
      <c r="E21" s="595">
        <f>Orçam.!I64</f>
        <v>433399.93</v>
      </c>
      <c r="F21" s="591">
        <f>E21/E$24</f>
        <v>0.16009999999999999</v>
      </c>
    </row>
    <row r="22" spans="1:8" ht="19.5" customHeight="1" x14ac:dyDescent="0.2">
      <c r="A22" s="593" t="str">
        <f>Orçam.!$A$65</f>
        <v>3.4</v>
      </c>
      <c r="B22" s="1374" t="str">
        <f>Orçam.!D65</f>
        <v>SINALIZAÇÃO VIÁRIA</v>
      </c>
      <c r="C22" s="1374"/>
      <c r="D22" s="1374"/>
      <c r="E22" s="595">
        <f>Orçam.!I70</f>
        <v>112349.08</v>
      </c>
      <c r="F22" s="591">
        <f>E22/E$24</f>
        <v>4.1500000000000002E-2</v>
      </c>
    </row>
    <row r="23" spans="1:8" ht="19.5" customHeight="1" x14ac:dyDescent="0.2">
      <c r="A23" s="592"/>
      <c r="B23" s="1374"/>
      <c r="C23" s="1374"/>
      <c r="D23" s="1374"/>
      <c r="E23" s="594"/>
      <c r="F23" s="591"/>
    </row>
    <row r="24" spans="1:8" ht="27" customHeight="1" thickBot="1" x14ac:dyDescent="0.25">
      <c r="A24" s="596"/>
      <c r="B24" s="1373" t="s">
        <v>13</v>
      </c>
      <c r="C24" s="1373"/>
      <c r="D24" s="1373"/>
      <c r="E24" s="597">
        <f>SUM(E10:E23)</f>
        <v>2706527.72</v>
      </c>
      <c r="F24" s="598">
        <f>SUM(F10:F23)</f>
        <v>1</v>
      </c>
    </row>
    <row r="25" spans="1:8" x14ac:dyDescent="0.2">
      <c r="A25" s="461"/>
      <c r="F25" s="580"/>
      <c r="H25" s="581"/>
    </row>
    <row r="26" spans="1:8" x14ac:dyDescent="0.2">
      <c r="A26" s="461"/>
      <c r="E26" s="354"/>
      <c r="F26" s="580"/>
    </row>
    <row r="27" spans="1:8" ht="14.25" x14ac:dyDescent="0.2">
      <c r="A27" s="461"/>
      <c r="C27" s="299"/>
      <c r="D27" s="299"/>
      <c r="F27" s="580"/>
    </row>
    <row r="28" spans="1:8" x14ac:dyDescent="0.2">
      <c r="A28" s="461"/>
      <c r="C28" s="582"/>
      <c r="D28" s="582"/>
      <c r="F28" s="580"/>
    </row>
    <row r="29" spans="1:8" ht="14.25" x14ac:dyDescent="0.2">
      <c r="A29" s="461"/>
      <c r="B29" s="904" t="str">
        <f>Terrap.!B26</f>
        <v>Robson Darcio Sousa</v>
      </c>
      <c r="F29" s="580"/>
    </row>
    <row r="30" spans="1:8" x14ac:dyDescent="0.2">
      <c r="A30" s="461"/>
      <c r="B30" s="905" t="str">
        <f>Terrap.!B27</f>
        <v>ENGº CIVIL</v>
      </c>
      <c r="F30" s="580"/>
    </row>
    <row r="31" spans="1:8" x14ac:dyDescent="0.2">
      <c r="A31" s="461"/>
      <c r="B31" s="905" t="str">
        <f>Terrap.!B28</f>
        <v>Crea: 120.263.916-0</v>
      </c>
      <c r="F31" s="580"/>
    </row>
    <row r="32" spans="1:8" x14ac:dyDescent="0.2">
      <c r="A32" s="461"/>
      <c r="F32" s="580"/>
    </row>
    <row r="33" spans="1:6" x14ac:dyDescent="0.2">
      <c r="A33" s="461"/>
      <c r="F33" s="580"/>
    </row>
    <row r="34" spans="1:6" x14ac:dyDescent="0.2">
      <c r="A34" s="461"/>
      <c r="F34" s="580"/>
    </row>
    <row r="35" spans="1:6" x14ac:dyDescent="0.2">
      <c r="A35" s="461"/>
      <c r="F35" s="580"/>
    </row>
    <row r="36" spans="1:6" x14ac:dyDescent="0.2">
      <c r="F36" s="580"/>
    </row>
    <row r="37" spans="1:6" x14ac:dyDescent="0.2">
      <c r="F37" s="580"/>
    </row>
    <row r="38" spans="1:6" x14ac:dyDescent="0.2">
      <c r="F38" s="580"/>
    </row>
    <row r="39" spans="1:6" x14ac:dyDescent="0.2">
      <c r="F39" s="580"/>
    </row>
    <row r="40" spans="1:6" x14ac:dyDescent="0.2">
      <c r="F40" s="580"/>
    </row>
    <row r="41" spans="1:6" x14ac:dyDescent="0.2">
      <c r="F41" s="580"/>
    </row>
    <row r="42" spans="1:6" x14ac:dyDescent="0.2">
      <c r="F42" s="580"/>
    </row>
    <row r="43" spans="1:6" x14ac:dyDescent="0.2">
      <c r="F43" s="580"/>
    </row>
    <row r="44" spans="1:6" x14ac:dyDescent="0.2">
      <c r="F44" s="580"/>
    </row>
    <row r="45" spans="1:6" x14ac:dyDescent="0.2">
      <c r="F45" s="580"/>
    </row>
    <row r="46" spans="1:6" x14ac:dyDescent="0.2">
      <c r="F46" s="580"/>
    </row>
    <row r="47" spans="1:6" x14ac:dyDescent="0.2">
      <c r="F47" s="580"/>
    </row>
    <row r="48" spans="1:6" x14ac:dyDescent="0.2">
      <c r="F48" s="580"/>
    </row>
    <row r="49" spans="6:6" x14ac:dyDescent="0.2">
      <c r="F49" s="580"/>
    </row>
    <row r="50" spans="6:6" x14ac:dyDescent="0.2">
      <c r="F50" s="580"/>
    </row>
    <row r="51" spans="6:6" x14ac:dyDescent="0.2">
      <c r="F51" s="580"/>
    </row>
    <row r="52" spans="6:6" x14ac:dyDescent="0.2">
      <c r="F52" s="580"/>
    </row>
    <row r="53" spans="6:6" x14ac:dyDescent="0.2">
      <c r="F53" s="580"/>
    </row>
    <row r="54" spans="6:6" x14ac:dyDescent="0.2">
      <c r="F54" s="580"/>
    </row>
    <row r="55" spans="6:6" x14ac:dyDescent="0.2">
      <c r="F55" s="580"/>
    </row>
    <row r="56" spans="6:6" x14ac:dyDescent="0.2">
      <c r="F56" s="580"/>
    </row>
    <row r="57" spans="6:6" x14ac:dyDescent="0.2">
      <c r="F57" s="580"/>
    </row>
    <row r="58" spans="6:6" x14ac:dyDescent="0.2">
      <c r="F58" s="580"/>
    </row>
    <row r="59" spans="6:6" x14ac:dyDescent="0.2">
      <c r="F59" s="580"/>
    </row>
    <row r="60" spans="6:6" x14ac:dyDescent="0.2">
      <c r="F60" s="580"/>
    </row>
    <row r="61" spans="6:6" x14ac:dyDescent="0.2">
      <c r="F61" s="580"/>
    </row>
    <row r="62" spans="6:6" x14ac:dyDescent="0.2">
      <c r="F62" s="580"/>
    </row>
    <row r="63" spans="6:6" x14ac:dyDescent="0.2">
      <c r="F63" s="580"/>
    </row>
    <row r="64" spans="6:6" x14ac:dyDescent="0.2">
      <c r="F64" s="580"/>
    </row>
    <row r="65" spans="6:6" x14ac:dyDescent="0.2">
      <c r="F65" s="580"/>
    </row>
    <row r="66" spans="6:6" x14ac:dyDescent="0.2">
      <c r="F66" s="580"/>
    </row>
    <row r="67" spans="6:6" x14ac:dyDescent="0.2">
      <c r="F67" s="580"/>
    </row>
    <row r="68" spans="6:6" x14ac:dyDescent="0.2">
      <c r="F68" s="580"/>
    </row>
    <row r="69" spans="6:6" x14ac:dyDescent="0.2">
      <c r="F69" s="580"/>
    </row>
    <row r="70" spans="6:6" x14ac:dyDescent="0.2">
      <c r="F70" s="580"/>
    </row>
    <row r="71" spans="6:6" x14ac:dyDescent="0.2">
      <c r="F71" s="580"/>
    </row>
    <row r="72" spans="6:6" x14ac:dyDescent="0.2">
      <c r="F72" s="580"/>
    </row>
    <row r="73" spans="6:6" x14ac:dyDescent="0.2">
      <c r="F73" s="580"/>
    </row>
    <row r="74" spans="6:6" x14ac:dyDescent="0.2">
      <c r="F74" s="580"/>
    </row>
    <row r="75" spans="6:6" x14ac:dyDescent="0.2">
      <c r="F75" s="580"/>
    </row>
    <row r="76" spans="6:6" x14ac:dyDescent="0.2">
      <c r="F76" s="580"/>
    </row>
    <row r="77" spans="6:6" x14ac:dyDescent="0.2">
      <c r="F77" s="580"/>
    </row>
    <row r="78" spans="6:6" x14ac:dyDescent="0.2">
      <c r="F78" s="580"/>
    </row>
    <row r="79" spans="6:6" x14ac:dyDescent="0.2">
      <c r="F79" s="580"/>
    </row>
  </sheetData>
  <mergeCells count="24">
    <mergeCell ref="A1:F1"/>
    <mergeCell ref="A2:F2"/>
    <mergeCell ref="B8:D8"/>
    <mergeCell ref="B10:D10"/>
    <mergeCell ref="F4:F6"/>
    <mergeCell ref="A7:F7"/>
    <mergeCell ref="D4:E6"/>
    <mergeCell ref="D3:E3"/>
    <mergeCell ref="C5:C6"/>
    <mergeCell ref="B9:D9"/>
    <mergeCell ref="B24:D24"/>
    <mergeCell ref="B22:D22"/>
    <mergeCell ref="B17:D17"/>
    <mergeCell ref="B11:D11"/>
    <mergeCell ref="B23:D23"/>
    <mergeCell ref="B16:D16"/>
    <mergeCell ref="B18:D18"/>
    <mergeCell ref="B19:D19"/>
    <mergeCell ref="B20:D20"/>
    <mergeCell ref="B21:D21"/>
    <mergeCell ref="B13:D13"/>
    <mergeCell ref="B14:D14"/>
    <mergeCell ref="B15:D15"/>
    <mergeCell ref="B12:D12"/>
  </mergeCells>
  <phoneticPr fontId="11" type="noConversion"/>
  <pageMargins left="0.19685039370078741" right="0.31496062992125984" top="0.78740157480314965" bottom="0.78740157480314965" header="0.31496062992125984" footer="0.31496062992125984"/>
  <pageSetup paperSize="9" scale="8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pageSetUpPr fitToPage="1"/>
  </sheetPr>
  <dimension ref="A1:AO86"/>
  <sheetViews>
    <sheetView view="pageBreakPreview" zoomScale="85" zoomScaleNormal="85" zoomScaleSheetLayoutView="85" zoomScalePageLayoutView="80" workbookViewId="0">
      <selection activeCell="X46" sqref="X46"/>
    </sheetView>
  </sheetViews>
  <sheetFormatPr defaultColWidth="9.140625" defaultRowHeight="15" x14ac:dyDescent="0.2"/>
  <cols>
    <col min="1" max="1" width="12.42578125" style="8" customWidth="1"/>
    <col min="2" max="3" width="15" style="8" customWidth="1"/>
    <col min="4" max="4" width="69.7109375" style="261" customWidth="1"/>
    <col min="5" max="5" width="10.140625" style="8" customWidth="1"/>
    <col min="6" max="6" width="15.5703125" style="10" customWidth="1"/>
    <col min="7" max="7" width="10.7109375" style="11" hidden="1" customWidth="1"/>
    <col min="8" max="8" width="16.7109375" style="11" hidden="1" customWidth="1"/>
    <col min="9" max="9" width="12.5703125" style="19" hidden="1" customWidth="1"/>
    <col min="10" max="10" width="9.85546875" style="847" bestFit="1" customWidth="1"/>
    <col min="11" max="11" width="7" style="356" bestFit="1" customWidth="1"/>
    <col min="12" max="12" width="11.85546875" style="847" bestFit="1" customWidth="1"/>
    <col min="13" max="13" width="8" style="245" bestFit="1" customWidth="1"/>
    <col min="14" max="14" width="13.140625" style="847" bestFit="1" customWidth="1"/>
    <col min="15" max="15" width="13.140625" style="245" customWidth="1"/>
    <col min="16" max="16" width="12.5703125" style="847" bestFit="1" customWidth="1"/>
    <col min="17" max="17" width="12.5703125" style="245" customWidth="1"/>
    <col min="18" max="18" width="9.140625" style="847"/>
    <col min="19" max="19" width="9.5703125" style="880" bestFit="1" customWidth="1"/>
    <col min="20" max="20" width="9.140625" style="865"/>
    <col min="21" max="21" width="9.5703125" style="880" bestFit="1" customWidth="1"/>
    <col min="22" max="22" width="9.140625" style="865"/>
    <col min="23" max="23" width="9.5703125" style="880" bestFit="1" customWidth="1"/>
    <col min="24" max="24" width="9.140625" style="865"/>
    <col min="25" max="25" width="9.5703125" style="880" bestFit="1" customWidth="1"/>
    <col min="26" max="26" width="9.140625" style="865"/>
    <col min="27" max="27" width="9.5703125" style="880" bestFit="1" customWidth="1"/>
    <col min="28" max="28" width="9.140625" style="865"/>
    <col min="29" max="29" width="9.140625" style="245"/>
    <col min="30" max="30" width="9.140625" style="865"/>
    <col min="31" max="31" width="9.140625" style="245"/>
    <col min="32" max="32" width="9.140625" style="865"/>
    <col min="33" max="34" width="9.140625" style="245"/>
    <col min="35" max="35" width="10.5703125" style="245" bestFit="1" customWidth="1"/>
    <col min="36" max="16384" width="9.140625" style="245"/>
  </cols>
  <sheetData>
    <row r="1" spans="1:41" ht="43.5" customHeight="1" x14ac:dyDescent="0.2">
      <c r="A1" s="1398" t="e">
        <f>Terrap.!#REF!</f>
        <v>#REF!</v>
      </c>
      <c r="B1" s="1399"/>
      <c r="C1" s="1399"/>
      <c r="D1" s="1402" t="str">
        <f>Terrap.!A1</f>
        <v>ESTADO DE MATO GROSSO</v>
      </c>
      <c r="E1" s="1402"/>
      <c r="F1" s="1402"/>
      <c r="G1" s="1402"/>
      <c r="H1" s="1402"/>
      <c r="I1" s="1403"/>
    </row>
    <row r="2" spans="1:41" ht="43.5" customHeight="1" x14ac:dyDescent="0.2">
      <c r="A2" s="1400"/>
      <c r="B2" s="1401"/>
      <c r="C2" s="1401"/>
      <c r="D2" s="1404" t="str">
        <f>Terrap.!A2</f>
        <v xml:space="preserve">PREFEITURA MUNICIPAL DE BARRA DO BUGRES </v>
      </c>
      <c r="E2" s="1404"/>
      <c r="F2" s="1404"/>
      <c r="G2" s="1404"/>
      <c r="H2" s="1404"/>
      <c r="I2" s="1405"/>
      <c r="J2" s="848"/>
      <c r="K2" s="850"/>
      <c r="L2" s="848"/>
      <c r="M2" s="842"/>
      <c r="N2" s="848"/>
      <c r="O2" s="842"/>
    </row>
    <row r="3" spans="1:41" ht="26.25" customHeight="1" x14ac:dyDescent="0.2">
      <c r="A3" s="670" t="str">
        <f>Terrap.!A3</f>
        <v>OBRA:</v>
      </c>
      <c r="B3" s="1366" t="str">
        <f>Terrap.!B3</f>
        <v xml:space="preserve">PAVIMENTAÇÃO ASFALTICA E DRENAGEM DE AGUAS PLUVIAIS </v>
      </c>
      <c r="C3" s="1367"/>
      <c r="D3" s="1367"/>
      <c r="E3" s="1368"/>
      <c r="F3" s="1356" t="s">
        <v>136</v>
      </c>
      <c r="G3" s="1360" t="s">
        <v>556</v>
      </c>
      <c r="H3" s="1360"/>
      <c r="I3" s="1361"/>
      <c r="J3" s="848"/>
      <c r="K3" s="850"/>
      <c r="L3" s="848"/>
      <c r="M3" s="842"/>
      <c r="N3" s="848"/>
      <c r="O3" s="842"/>
    </row>
    <row r="4" spans="1:41" ht="26.25" customHeight="1" x14ac:dyDescent="0.2">
      <c r="A4" s="670" t="str">
        <f>Terrap.!A4</f>
        <v>LOCAL:</v>
      </c>
      <c r="B4" s="1366" t="str">
        <f>Terrap.!B4</f>
        <v>DIVERSAS RUAS - PERIMETRO URBANO</v>
      </c>
      <c r="C4" s="1367"/>
      <c r="D4" s="1367"/>
      <c r="E4" s="1368"/>
      <c r="F4" s="1356"/>
      <c r="G4" s="1362"/>
      <c r="H4" s="1362"/>
      <c r="I4" s="1363"/>
      <c r="J4" s="849"/>
      <c r="K4" s="837"/>
      <c r="L4" s="849"/>
      <c r="M4" s="7"/>
      <c r="N4" s="849"/>
      <c r="O4" s="7"/>
    </row>
    <row r="5" spans="1:41" ht="26.25" customHeight="1" x14ac:dyDescent="0.2">
      <c r="A5" s="670" t="str">
        <f>Terrap.!A5</f>
        <v>PROPR.:</v>
      </c>
      <c r="B5" s="1366" t="str">
        <f>Terrap.!B5</f>
        <v xml:space="preserve">PREFEITURA MUNICIPAL DE BARRA DO BUGRES </v>
      </c>
      <c r="C5" s="1367"/>
      <c r="D5" s="1367"/>
      <c r="E5" s="1368"/>
      <c r="F5" s="1356"/>
      <c r="G5" s="1364"/>
      <c r="H5" s="1364"/>
      <c r="I5" s="1365"/>
      <c r="J5" s="849"/>
      <c r="K5" s="837"/>
      <c r="L5" s="1286"/>
      <c r="M5" s="1286"/>
      <c r="N5" s="1286"/>
      <c r="O5" s="1286"/>
      <c r="P5" s="1286"/>
      <c r="Q5" s="842"/>
    </row>
    <row r="6" spans="1:41" ht="26.25" customHeight="1" thickBot="1" x14ac:dyDescent="0.25">
      <c r="A6" s="382" t="str">
        <f>Terrap.!A6</f>
        <v>ÁREA (m²):</v>
      </c>
      <c r="B6" s="1394">
        <f>Pavim.!C24</f>
        <v>31131.72</v>
      </c>
      <c r="C6" s="1394"/>
      <c r="D6" s="1394"/>
      <c r="E6" s="1394"/>
      <c r="F6" s="835" t="s">
        <v>362</v>
      </c>
      <c r="G6" s="836">
        <v>43160</v>
      </c>
      <c r="H6" s="415" t="s">
        <v>60</v>
      </c>
      <c r="I6" s="532">
        <v>0.27689999999999998</v>
      </c>
      <c r="J6" s="849"/>
      <c r="K6" s="837"/>
      <c r="L6" s="1286"/>
      <c r="M6" s="1286"/>
      <c r="N6" s="1286"/>
      <c r="O6" s="1286"/>
      <c r="P6" s="1286"/>
      <c r="Q6" s="842"/>
    </row>
    <row r="7" spans="1:41" ht="26.25" customHeight="1" thickBot="1" x14ac:dyDescent="0.25">
      <c r="A7" s="1287" t="s">
        <v>131</v>
      </c>
      <c r="B7" s="1288"/>
      <c r="C7" s="1288"/>
      <c r="D7" s="1288"/>
      <c r="E7" s="1288"/>
      <c r="F7" s="1288"/>
      <c r="G7" s="1288"/>
      <c r="H7" s="1288"/>
      <c r="I7" s="1289"/>
      <c r="J7" s="849"/>
      <c r="K7" s="837"/>
    </row>
    <row r="8" spans="1:41" ht="57" x14ac:dyDescent="0.2">
      <c r="A8" s="475" t="s">
        <v>0</v>
      </c>
      <c r="B8" s="476" t="s">
        <v>380</v>
      </c>
      <c r="C8" s="476" t="s">
        <v>381</v>
      </c>
      <c r="D8" s="477" t="s">
        <v>1</v>
      </c>
      <c r="E8" s="477" t="s">
        <v>2</v>
      </c>
      <c r="F8" s="478" t="s">
        <v>3</v>
      </c>
      <c r="G8" s="479" t="s">
        <v>130</v>
      </c>
      <c r="H8" s="479" t="s">
        <v>379</v>
      </c>
      <c r="I8" s="852" t="s">
        <v>4</v>
      </c>
      <c r="J8" s="1383" t="s">
        <v>565</v>
      </c>
      <c r="K8" s="1383"/>
      <c r="L8" s="1384">
        <v>60</v>
      </c>
      <c r="M8" s="1384"/>
      <c r="N8" s="1385">
        <v>90</v>
      </c>
      <c r="O8" s="1386"/>
      <c r="P8" s="1385">
        <v>120</v>
      </c>
      <c r="Q8" s="1386"/>
      <c r="R8" s="1381">
        <v>150</v>
      </c>
      <c r="S8" s="1382"/>
      <c r="T8" s="1381">
        <v>180</v>
      </c>
      <c r="U8" s="1382"/>
      <c r="V8" s="1381">
        <v>210</v>
      </c>
      <c r="W8" s="1382"/>
      <c r="X8" s="1381">
        <v>240</v>
      </c>
      <c r="Y8" s="1382"/>
      <c r="Z8" s="1381">
        <v>270</v>
      </c>
      <c r="AA8" s="1382"/>
      <c r="AB8" s="1381">
        <v>300</v>
      </c>
      <c r="AC8" s="1382"/>
      <c r="AD8" s="1381">
        <v>330</v>
      </c>
      <c r="AE8" s="1382"/>
      <c r="AF8" s="1380">
        <v>360</v>
      </c>
      <c r="AG8" s="1380"/>
      <c r="AH8" s="846"/>
      <c r="AI8" s="846"/>
      <c r="AJ8" s="846"/>
      <c r="AK8" s="846"/>
      <c r="AL8" s="846"/>
      <c r="AM8" s="846"/>
      <c r="AN8" s="846"/>
      <c r="AO8" s="846"/>
    </row>
    <row r="9" spans="1:41" x14ac:dyDescent="0.2">
      <c r="A9" s="481">
        <v>1</v>
      </c>
      <c r="B9" s="482"/>
      <c r="C9" s="482"/>
      <c r="D9" s="483" t="s">
        <v>30</v>
      </c>
      <c r="E9" s="482"/>
      <c r="F9" s="484"/>
      <c r="G9" s="484"/>
      <c r="H9" s="484"/>
      <c r="I9" s="853"/>
      <c r="J9" s="856"/>
      <c r="K9" s="857"/>
      <c r="L9" s="858"/>
      <c r="M9" s="858"/>
      <c r="N9" s="858"/>
      <c r="O9" s="858"/>
      <c r="P9" s="858"/>
      <c r="Q9" s="858"/>
      <c r="R9" s="858"/>
      <c r="S9" s="881"/>
      <c r="T9" s="866"/>
      <c r="U9" s="881"/>
      <c r="V9" s="866"/>
      <c r="W9" s="881"/>
      <c r="X9" s="866"/>
      <c r="Y9" s="881"/>
      <c r="Z9" s="866"/>
      <c r="AA9" s="881"/>
      <c r="AB9" s="866"/>
      <c r="AC9" s="858"/>
      <c r="AD9" s="866"/>
      <c r="AE9" s="858"/>
      <c r="AF9" s="866"/>
      <c r="AG9" s="858"/>
    </row>
    <row r="10" spans="1:41" ht="30" x14ac:dyDescent="0.2">
      <c r="A10" s="487" t="s">
        <v>23</v>
      </c>
      <c r="B10" s="844">
        <v>93584</v>
      </c>
      <c r="C10" s="844"/>
      <c r="D10" s="488" t="s">
        <v>404</v>
      </c>
      <c r="E10" s="843" t="s">
        <v>512</v>
      </c>
      <c r="F10" s="489" t="e">
        <f>'Mem. Calc.'!#REF!</f>
        <v>#REF!</v>
      </c>
      <c r="G10" s="490" t="e">
        <f>H10/F10</f>
        <v>#REF!</v>
      </c>
      <c r="H10" s="490">
        <v>14314.51</v>
      </c>
      <c r="I10" s="1395">
        <f>H13/H75</f>
        <v>2.4299999999999999E-2</v>
      </c>
      <c r="J10" s="856">
        <v>0.8</v>
      </c>
      <c r="K10" s="857" t="e">
        <f>F10*J10</f>
        <v>#REF!</v>
      </c>
      <c r="L10" s="858">
        <v>0.2</v>
      </c>
      <c r="M10" s="859" t="e">
        <f>F10*L10</f>
        <v>#REF!</v>
      </c>
      <c r="N10" s="858"/>
      <c r="O10" s="859" t="e">
        <f>N10*F10</f>
        <v>#REF!</v>
      </c>
      <c r="P10" s="858"/>
      <c r="Q10" s="859" t="e">
        <f>P10*F10</f>
        <v>#REF!</v>
      </c>
      <c r="R10" s="858"/>
      <c r="S10" s="882" t="e">
        <f>R10*F10</f>
        <v>#REF!</v>
      </c>
      <c r="T10" s="866"/>
      <c r="U10" s="882" t="e">
        <f>T10*F10</f>
        <v>#REF!</v>
      </c>
      <c r="V10" s="866"/>
      <c r="W10" s="882" t="e">
        <f>V10*F10</f>
        <v>#REF!</v>
      </c>
      <c r="X10" s="866"/>
      <c r="Y10" s="882" t="e">
        <f>X10*F10</f>
        <v>#REF!</v>
      </c>
      <c r="Z10" s="866"/>
      <c r="AA10" s="882" t="e">
        <f>Z10*F10</f>
        <v>#REF!</v>
      </c>
      <c r="AB10" s="866"/>
      <c r="AC10" s="859" t="e">
        <f>AB10*F10</f>
        <v>#REF!</v>
      </c>
      <c r="AD10" s="866"/>
      <c r="AE10" s="859" t="e">
        <f>AD10*F10</f>
        <v>#REF!</v>
      </c>
      <c r="AF10" s="866"/>
      <c r="AG10" s="859" t="e">
        <f>AF10*F10</f>
        <v>#REF!</v>
      </c>
      <c r="AH10" s="864">
        <f>AF10+AD10+AB10+Z10+X10+V10+T10+R10+P10+N10+L10+J10</f>
        <v>1</v>
      </c>
      <c r="AI10" s="260" t="e">
        <f>AG10+AE10+AC10+AA10+Y10+W10+U10+S10+Q10+O10+M10+K10</f>
        <v>#REF!</v>
      </c>
    </row>
    <row r="11" spans="1:41" ht="45" x14ac:dyDescent="0.2">
      <c r="A11" s="487" t="s">
        <v>44</v>
      </c>
      <c r="B11" s="844">
        <v>93212</v>
      </c>
      <c r="C11" s="844"/>
      <c r="D11" s="488" t="s">
        <v>405</v>
      </c>
      <c r="E11" s="843" t="s">
        <v>512</v>
      </c>
      <c r="F11" s="489" t="e">
        <f>'Mem. Calc.'!#REF!</f>
        <v>#REF!</v>
      </c>
      <c r="G11" s="490" t="e">
        <f t="shared" ref="G11:G12" si="0">H11/F11</f>
        <v>#REF!</v>
      </c>
      <c r="H11" s="490">
        <v>4924.03</v>
      </c>
      <c r="I11" s="1396"/>
      <c r="J11" s="856">
        <v>0.8</v>
      </c>
      <c r="K11" s="857" t="e">
        <f t="shared" ref="K11:K12" si="1">F11*J11</f>
        <v>#REF!</v>
      </c>
      <c r="L11" s="858">
        <v>0.2</v>
      </c>
      <c r="M11" s="859" t="e">
        <f t="shared" ref="M11:M12" si="2">F11*L11</f>
        <v>#REF!</v>
      </c>
      <c r="N11" s="858"/>
      <c r="O11" s="859" t="e">
        <f t="shared" ref="O11:O12" si="3">N11*F11</f>
        <v>#REF!</v>
      </c>
      <c r="P11" s="858"/>
      <c r="Q11" s="859" t="e">
        <f t="shared" ref="Q11:Q12" si="4">P11*F11</f>
        <v>#REF!</v>
      </c>
      <c r="R11" s="858"/>
      <c r="S11" s="882" t="e">
        <f t="shared" ref="S11:S12" si="5">R11*F11</f>
        <v>#REF!</v>
      </c>
      <c r="T11" s="866"/>
      <c r="U11" s="882" t="e">
        <f t="shared" ref="U11:U12" si="6">T11*F11</f>
        <v>#REF!</v>
      </c>
      <c r="V11" s="866"/>
      <c r="W11" s="882" t="e">
        <f t="shared" ref="W11:W12" si="7">V11*F11</f>
        <v>#REF!</v>
      </c>
      <c r="X11" s="866"/>
      <c r="Y11" s="882" t="e">
        <f t="shared" ref="Y11:Y12" si="8">X11*F11</f>
        <v>#REF!</v>
      </c>
      <c r="Z11" s="866"/>
      <c r="AA11" s="882" t="e">
        <f t="shared" ref="AA11:AA12" si="9">Z11*F11</f>
        <v>#REF!</v>
      </c>
      <c r="AB11" s="866"/>
      <c r="AC11" s="859" t="e">
        <f t="shared" ref="AC11:AC12" si="10">AB11*F11</f>
        <v>#REF!</v>
      </c>
      <c r="AD11" s="866"/>
      <c r="AE11" s="859" t="e">
        <f t="shared" ref="AE11:AE12" si="11">AD11*F11</f>
        <v>#REF!</v>
      </c>
      <c r="AF11" s="866"/>
      <c r="AG11" s="859" t="e">
        <f t="shared" ref="AG11:AG12" si="12">AF11*F11</f>
        <v>#REF!</v>
      </c>
      <c r="AH11" s="864">
        <f t="shared" ref="AH11:AH12" si="13">AF11+AD11+AB11+Z11+X11+V11+T11+R11+P11+N11+L11+J11</f>
        <v>1</v>
      </c>
      <c r="AI11" s="260" t="e">
        <f t="shared" ref="AI11:AI12" si="14">AG11+AE11+AC11+AA11+Y11+W11+U11+S11+Q11+O11+M11+K11</f>
        <v>#REF!</v>
      </c>
    </row>
    <row r="12" spans="1:41" x14ac:dyDescent="0.2">
      <c r="A12" s="487" t="s">
        <v>45</v>
      </c>
      <c r="B12" s="843" t="s">
        <v>36</v>
      </c>
      <c r="C12" s="843"/>
      <c r="D12" s="491" t="s">
        <v>102</v>
      </c>
      <c r="E12" s="843" t="s">
        <v>512</v>
      </c>
      <c r="F12" s="489">
        <f>'Mem. Calc.'!E10</f>
        <v>3.13</v>
      </c>
      <c r="G12" s="490">
        <f t="shared" si="0"/>
        <v>4751.53</v>
      </c>
      <c r="H12" s="490">
        <v>14872.28</v>
      </c>
      <c r="I12" s="1396"/>
      <c r="J12" s="856">
        <v>0.8</v>
      </c>
      <c r="K12" s="857">
        <f t="shared" si="1"/>
        <v>2.5</v>
      </c>
      <c r="L12" s="858">
        <v>0.2</v>
      </c>
      <c r="M12" s="859">
        <f t="shared" si="2"/>
        <v>0.63</v>
      </c>
      <c r="N12" s="858"/>
      <c r="O12" s="859">
        <f t="shared" si="3"/>
        <v>0</v>
      </c>
      <c r="P12" s="858"/>
      <c r="Q12" s="859">
        <f t="shared" si="4"/>
        <v>0</v>
      </c>
      <c r="R12" s="858"/>
      <c r="S12" s="882">
        <f t="shared" si="5"/>
        <v>0</v>
      </c>
      <c r="T12" s="866"/>
      <c r="U12" s="882">
        <f t="shared" si="6"/>
        <v>0</v>
      </c>
      <c r="V12" s="866"/>
      <c r="W12" s="882">
        <f t="shared" si="7"/>
        <v>0</v>
      </c>
      <c r="X12" s="866"/>
      <c r="Y12" s="882">
        <f t="shared" si="8"/>
        <v>0</v>
      </c>
      <c r="Z12" s="866"/>
      <c r="AA12" s="882">
        <f t="shared" si="9"/>
        <v>0</v>
      </c>
      <c r="AB12" s="866"/>
      <c r="AC12" s="859">
        <f t="shared" si="10"/>
        <v>0</v>
      </c>
      <c r="AD12" s="866"/>
      <c r="AE12" s="859">
        <f t="shared" si="11"/>
        <v>0</v>
      </c>
      <c r="AF12" s="866"/>
      <c r="AG12" s="859">
        <f t="shared" si="12"/>
        <v>0</v>
      </c>
      <c r="AH12" s="864">
        <f t="shared" si="13"/>
        <v>1</v>
      </c>
      <c r="AI12" s="260">
        <f t="shared" si="14"/>
        <v>3.13</v>
      </c>
    </row>
    <row r="13" spans="1:41" x14ac:dyDescent="0.2">
      <c r="A13" s="493"/>
      <c r="B13" s="494"/>
      <c r="C13" s="494"/>
      <c r="D13" s="495" t="s">
        <v>7</v>
      </c>
      <c r="E13" s="494"/>
      <c r="F13" s="496"/>
      <c r="G13" s="497"/>
      <c r="H13" s="497">
        <f>SUM(H10:H12)</f>
        <v>34110.82</v>
      </c>
      <c r="I13" s="1397"/>
      <c r="J13" s="856"/>
      <c r="K13" s="857"/>
      <c r="L13" s="858"/>
      <c r="M13" s="410"/>
      <c r="N13" s="858"/>
      <c r="O13" s="410"/>
      <c r="P13" s="858"/>
      <c r="Q13" s="410"/>
      <c r="R13" s="858"/>
      <c r="S13" s="882"/>
      <c r="T13" s="866"/>
      <c r="U13" s="882"/>
      <c r="V13" s="866"/>
      <c r="W13" s="882"/>
      <c r="X13" s="866"/>
      <c r="Y13" s="882"/>
      <c r="Z13" s="866"/>
      <c r="AA13" s="882"/>
      <c r="AB13" s="866"/>
      <c r="AC13" s="410"/>
      <c r="AD13" s="866"/>
      <c r="AE13" s="410"/>
      <c r="AF13" s="866"/>
      <c r="AG13" s="410"/>
    </row>
    <row r="14" spans="1:41" x14ac:dyDescent="0.2">
      <c r="A14" s="481">
        <v>2</v>
      </c>
      <c r="B14" s="482"/>
      <c r="C14" s="482"/>
      <c r="D14" s="498" t="s">
        <v>550</v>
      </c>
      <c r="E14" s="482"/>
      <c r="F14" s="499"/>
      <c r="G14" s="485"/>
      <c r="H14" s="485"/>
      <c r="I14" s="853"/>
      <c r="J14" s="856"/>
      <c r="K14" s="857"/>
      <c r="L14" s="858"/>
      <c r="M14" s="410"/>
      <c r="N14" s="858"/>
      <c r="O14" s="410"/>
      <c r="P14" s="858"/>
      <c r="Q14" s="410"/>
      <c r="R14" s="858"/>
      <c r="S14" s="882"/>
      <c r="T14" s="866"/>
      <c r="U14" s="882"/>
      <c r="V14" s="866"/>
      <c r="W14" s="882"/>
      <c r="X14" s="866"/>
      <c r="Y14" s="882"/>
      <c r="Z14" s="866"/>
      <c r="AA14" s="882"/>
      <c r="AB14" s="866"/>
      <c r="AC14" s="410"/>
      <c r="AD14" s="866"/>
      <c r="AE14" s="410"/>
      <c r="AF14" s="866"/>
      <c r="AG14" s="410"/>
    </row>
    <row r="15" spans="1:41" x14ac:dyDescent="0.2">
      <c r="A15" s="487" t="s">
        <v>24</v>
      </c>
      <c r="B15" s="1371" t="s">
        <v>347</v>
      </c>
      <c r="C15" s="1372"/>
      <c r="D15" s="491" t="e">
        <f>#REF!</f>
        <v>#REF!</v>
      </c>
      <c r="E15" s="843" t="s">
        <v>49</v>
      </c>
      <c r="F15" s="500">
        <v>1</v>
      </c>
      <c r="G15" s="490">
        <f t="shared" ref="G15" si="15">H15/F15</f>
        <v>68628.7</v>
      </c>
      <c r="H15" s="845">
        <v>68628.7</v>
      </c>
      <c r="I15" s="1395">
        <f>H16/H75</f>
        <v>4.8899999999999999E-2</v>
      </c>
      <c r="J15" s="856"/>
      <c r="K15" s="857">
        <f>F15*J15</f>
        <v>0</v>
      </c>
      <c r="L15" s="858"/>
      <c r="M15" s="859">
        <f>F15*L15</f>
        <v>0</v>
      </c>
      <c r="N15" s="858"/>
      <c r="O15" s="859">
        <f>N15*F15</f>
        <v>0</v>
      </c>
      <c r="P15" s="858"/>
      <c r="Q15" s="859">
        <f>P15*F15</f>
        <v>0</v>
      </c>
      <c r="R15" s="858"/>
      <c r="S15" s="882">
        <f>R15*F15</f>
        <v>0</v>
      </c>
      <c r="T15" s="866"/>
      <c r="U15" s="882">
        <f>T15*F15</f>
        <v>0</v>
      </c>
      <c r="V15" s="866"/>
      <c r="W15" s="882">
        <f>V15*F15</f>
        <v>0</v>
      </c>
      <c r="X15" s="866"/>
      <c r="Y15" s="882">
        <f>X15*F15</f>
        <v>0</v>
      </c>
      <c r="Z15" s="866"/>
      <c r="AA15" s="882">
        <f>Z15*F15</f>
        <v>0</v>
      </c>
      <c r="AB15" s="866"/>
      <c r="AC15" s="859">
        <f>AB15*F15</f>
        <v>0</v>
      </c>
      <c r="AD15" s="866"/>
      <c r="AE15" s="859">
        <f>AD15*F15</f>
        <v>0</v>
      </c>
      <c r="AF15" s="866"/>
      <c r="AG15" s="859">
        <f>AF15*F15</f>
        <v>0</v>
      </c>
      <c r="AH15" s="864">
        <f>AF15+AD15+AB15+Z15+X15+V15+T15+R15+P15+N15+L15+J15</f>
        <v>0</v>
      </c>
      <c r="AI15" s="260">
        <f>AG15+AE15+AC15+AA15+Y15+W15+U15+S15+Q15+O15+M15+K15</f>
        <v>0</v>
      </c>
    </row>
    <row r="16" spans="1:41" x14ac:dyDescent="0.2">
      <c r="A16" s="493"/>
      <c r="B16" s="494"/>
      <c r="C16" s="494"/>
      <c r="D16" s="495" t="s">
        <v>7</v>
      </c>
      <c r="E16" s="494"/>
      <c r="F16" s="496"/>
      <c r="G16" s="497"/>
      <c r="H16" s="497">
        <f>SUM(H15:H15)</f>
        <v>68628.7</v>
      </c>
      <c r="I16" s="1397"/>
      <c r="J16" s="856"/>
      <c r="K16" s="857"/>
      <c r="L16" s="858"/>
      <c r="M16" s="860"/>
      <c r="N16" s="858"/>
      <c r="O16" s="410"/>
      <c r="P16" s="858"/>
      <c r="Q16" s="410"/>
      <c r="R16" s="858"/>
      <c r="S16" s="882"/>
      <c r="T16" s="866"/>
      <c r="U16" s="882"/>
      <c r="V16" s="866"/>
      <c r="W16" s="882"/>
      <c r="X16" s="866"/>
      <c r="Y16" s="882"/>
      <c r="Z16" s="866"/>
      <c r="AA16" s="882"/>
      <c r="AB16" s="866"/>
      <c r="AC16" s="410"/>
      <c r="AD16" s="866"/>
      <c r="AE16" s="410"/>
      <c r="AF16" s="866"/>
      <c r="AG16" s="410"/>
    </row>
    <row r="17" spans="1:35" x14ac:dyDescent="0.2">
      <c r="A17" s="481">
        <v>3</v>
      </c>
      <c r="B17" s="482"/>
      <c r="C17" s="482"/>
      <c r="D17" s="498" t="s">
        <v>50</v>
      </c>
      <c r="E17" s="482"/>
      <c r="F17" s="499"/>
      <c r="G17" s="485"/>
      <c r="H17" s="485"/>
      <c r="I17" s="853"/>
      <c r="J17" s="856"/>
      <c r="K17" s="857"/>
      <c r="L17" s="858"/>
      <c r="M17" s="410"/>
      <c r="N17" s="858"/>
      <c r="O17" s="410"/>
      <c r="P17" s="858"/>
      <c r="Q17" s="410"/>
      <c r="R17" s="858"/>
      <c r="S17" s="882"/>
      <c r="T17" s="866"/>
      <c r="U17" s="882"/>
      <c r="V17" s="866"/>
      <c r="W17" s="882"/>
      <c r="X17" s="866"/>
      <c r="Y17" s="882"/>
      <c r="Z17" s="866"/>
      <c r="AA17" s="882"/>
      <c r="AB17" s="866"/>
      <c r="AC17" s="410"/>
      <c r="AD17" s="866"/>
      <c r="AE17" s="410"/>
      <c r="AF17" s="866"/>
      <c r="AG17" s="410"/>
    </row>
    <row r="18" spans="1:35" ht="15" customHeight="1" x14ac:dyDescent="0.2">
      <c r="A18" s="493" t="s">
        <v>25</v>
      </c>
      <c r="B18" s="494"/>
      <c r="C18" s="494"/>
      <c r="D18" s="505" t="s">
        <v>132</v>
      </c>
      <c r="E18" s="501"/>
      <c r="F18" s="503"/>
      <c r="G18" s="497"/>
      <c r="H18" s="503"/>
      <c r="I18" s="1387">
        <f>(H25+H30+H38+H41)/H75</f>
        <v>0.30149999999999999</v>
      </c>
      <c r="J18" s="858"/>
      <c r="K18" s="860"/>
      <c r="L18" s="858"/>
      <c r="M18" s="410"/>
      <c r="N18" s="858"/>
      <c r="O18" s="410"/>
      <c r="P18" s="858"/>
      <c r="Q18" s="410"/>
      <c r="R18" s="858"/>
      <c r="S18" s="882"/>
      <c r="T18" s="866"/>
      <c r="U18" s="882"/>
      <c r="V18" s="866"/>
      <c r="W18" s="882"/>
      <c r="X18" s="866"/>
      <c r="Y18" s="882"/>
      <c r="Z18" s="866"/>
      <c r="AA18" s="882"/>
      <c r="AB18" s="866"/>
      <c r="AC18" s="410"/>
      <c r="AD18" s="866"/>
      <c r="AE18" s="410"/>
      <c r="AF18" s="866"/>
      <c r="AG18" s="410"/>
    </row>
    <row r="19" spans="1:35" ht="75" x14ac:dyDescent="0.2">
      <c r="A19" s="506" t="s">
        <v>38</v>
      </c>
      <c r="B19" s="507">
        <v>90091</v>
      </c>
      <c r="C19" s="507"/>
      <c r="D19" s="508" t="s">
        <v>459</v>
      </c>
      <c r="E19" s="843" t="s">
        <v>513</v>
      </c>
      <c r="F19" s="509">
        <f>'Mem. Calc.'!E17</f>
        <v>567.02</v>
      </c>
      <c r="G19" s="490">
        <f t="shared" ref="G19:G24" si="16">H19/F19</f>
        <v>25.11</v>
      </c>
      <c r="H19" s="509">
        <v>14235.31</v>
      </c>
      <c r="I19" s="1387"/>
      <c r="J19" s="856"/>
      <c r="K19" s="857">
        <f t="shared" ref="K19:K24" si="17">F19*J19</f>
        <v>0</v>
      </c>
      <c r="L19" s="858"/>
      <c r="M19" s="859">
        <f t="shared" ref="M19:M24" si="18">F19*L19</f>
        <v>0</v>
      </c>
      <c r="N19" s="858"/>
      <c r="O19" s="859">
        <f t="shared" ref="O19:O24" si="19">N19*F19</f>
        <v>0</v>
      </c>
      <c r="P19" s="858"/>
      <c r="Q19" s="859">
        <f t="shared" ref="Q19:Q24" si="20">P19*F19</f>
        <v>0</v>
      </c>
      <c r="R19" s="858"/>
      <c r="S19" s="882">
        <f t="shared" ref="S19:S24" si="21">R19*F19</f>
        <v>0</v>
      </c>
      <c r="T19" s="866"/>
      <c r="U19" s="882">
        <f t="shared" ref="U19:U24" si="22">T19*F19</f>
        <v>0</v>
      </c>
      <c r="V19" s="866"/>
      <c r="W19" s="882">
        <f t="shared" ref="W19:W24" si="23">V19*F19</f>
        <v>0</v>
      </c>
      <c r="X19" s="866"/>
      <c r="Y19" s="882">
        <f t="shared" ref="Y19:Y24" si="24">X19*F19</f>
        <v>0</v>
      </c>
      <c r="Z19" s="866"/>
      <c r="AA19" s="882">
        <f t="shared" ref="AA19:AA24" si="25">Z19*F19</f>
        <v>0</v>
      </c>
      <c r="AB19" s="866"/>
      <c r="AC19" s="859">
        <f t="shared" ref="AC19:AC24" si="26">AB19*F19</f>
        <v>0</v>
      </c>
      <c r="AD19" s="866"/>
      <c r="AE19" s="859">
        <f t="shared" ref="AE19:AE24" si="27">AD19*F19</f>
        <v>0</v>
      </c>
      <c r="AF19" s="866"/>
      <c r="AG19" s="859">
        <f t="shared" ref="AG19:AG24" si="28">AF19*F19</f>
        <v>0</v>
      </c>
      <c r="AH19" s="864">
        <f t="shared" ref="AH19:AH24" si="29">AF19+AD19+AB19+Z19+X19+V19+T19+R19+P19+N19+L19+J19</f>
        <v>0</v>
      </c>
      <c r="AI19" s="260">
        <f t="shared" ref="AI19:AI24" si="30">AG19+AE19+AC19+AA19+Y19+W19+U19+S19+Q19+O19+M19+K19</f>
        <v>0</v>
      </c>
    </row>
    <row r="20" spans="1:35" ht="75" customHeight="1" x14ac:dyDescent="0.2">
      <c r="A20" s="506" t="s">
        <v>551</v>
      </c>
      <c r="B20" s="507">
        <v>90092</v>
      </c>
      <c r="C20" s="507"/>
      <c r="D20" s="508" t="s">
        <v>460</v>
      </c>
      <c r="E20" s="843" t="s">
        <v>513</v>
      </c>
      <c r="F20" s="509">
        <f>'Mem. Calc.'!E18</f>
        <v>107.04</v>
      </c>
      <c r="G20" s="490">
        <f t="shared" si="16"/>
        <v>34.21</v>
      </c>
      <c r="H20" s="509">
        <v>3661.44</v>
      </c>
      <c r="I20" s="1387"/>
      <c r="J20" s="856"/>
      <c r="K20" s="857">
        <f t="shared" si="17"/>
        <v>0</v>
      </c>
      <c r="L20" s="858"/>
      <c r="M20" s="859">
        <f t="shared" si="18"/>
        <v>0</v>
      </c>
      <c r="N20" s="858"/>
      <c r="O20" s="859">
        <f t="shared" si="19"/>
        <v>0</v>
      </c>
      <c r="P20" s="858"/>
      <c r="Q20" s="859">
        <f t="shared" si="20"/>
        <v>0</v>
      </c>
      <c r="R20" s="858"/>
      <c r="S20" s="882">
        <f t="shared" si="21"/>
        <v>0</v>
      </c>
      <c r="T20" s="866"/>
      <c r="U20" s="882">
        <f t="shared" si="22"/>
        <v>0</v>
      </c>
      <c r="V20" s="866"/>
      <c r="W20" s="882">
        <f t="shared" si="23"/>
        <v>0</v>
      </c>
      <c r="X20" s="866"/>
      <c r="Y20" s="882">
        <f t="shared" si="24"/>
        <v>0</v>
      </c>
      <c r="Z20" s="866"/>
      <c r="AA20" s="882">
        <f t="shared" si="25"/>
        <v>0</v>
      </c>
      <c r="AB20" s="866"/>
      <c r="AC20" s="859">
        <f t="shared" si="26"/>
        <v>0</v>
      </c>
      <c r="AD20" s="866"/>
      <c r="AE20" s="859">
        <f t="shared" si="27"/>
        <v>0</v>
      </c>
      <c r="AF20" s="866"/>
      <c r="AG20" s="859">
        <f t="shared" si="28"/>
        <v>0</v>
      </c>
      <c r="AH20" s="864">
        <f t="shared" si="29"/>
        <v>0</v>
      </c>
      <c r="AI20" s="260">
        <f t="shared" si="30"/>
        <v>0</v>
      </c>
    </row>
    <row r="21" spans="1:35" ht="48.75" customHeight="1" x14ac:dyDescent="0.2">
      <c r="A21" s="506" t="s">
        <v>552</v>
      </c>
      <c r="B21" s="507">
        <v>94056</v>
      </c>
      <c r="C21" s="507"/>
      <c r="D21" s="508" t="s">
        <v>480</v>
      </c>
      <c r="E21" s="843" t="s">
        <v>512</v>
      </c>
      <c r="F21" s="509">
        <f>'Mem. Calc.'!E19</f>
        <v>88.71</v>
      </c>
      <c r="G21" s="490">
        <f t="shared" si="16"/>
        <v>136.32</v>
      </c>
      <c r="H21" s="509">
        <v>12092.75</v>
      </c>
      <c r="I21" s="1387"/>
      <c r="J21" s="856"/>
      <c r="K21" s="857">
        <f t="shared" si="17"/>
        <v>0</v>
      </c>
      <c r="L21" s="858"/>
      <c r="M21" s="859">
        <f t="shared" si="18"/>
        <v>0</v>
      </c>
      <c r="N21" s="858"/>
      <c r="O21" s="859">
        <f t="shared" si="19"/>
        <v>0</v>
      </c>
      <c r="P21" s="858"/>
      <c r="Q21" s="859">
        <f t="shared" si="20"/>
        <v>0</v>
      </c>
      <c r="R21" s="858"/>
      <c r="S21" s="882">
        <f t="shared" si="21"/>
        <v>0</v>
      </c>
      <c r="T21" s="866"/>
      <c r="U21" s="882">
        <f t="shared" si="22"/>
        <v>0</v>
      </c>
      <c r="V21" s="866"/>
      <c r="W21" s="882">
        <f t="shared" si="23"/>
        <v>0</v>
      </c>
      <c r="X21" s="866"/>
      <c r="Y21" s="882">
        <f t="shared" si="24"/>
        <v>0</v>
      </c>
      <c r="Z21" s="866"/>
      <c r="AA21" s="882">
        <f t="shared" si="25"/>
        <v>0</v>
      </c>
      <c r="AB21" s="866"/>
      <c r="AC21" s="859">
        <f t="shared" si="26"/>
        <v>0</v>
      </c>
      <c r="AD21" s="866"/>
      <c r="AE21" s="859">
        <f t="shared" si="27"/>
        <v>0</v>
      </c>
      <c r="AF21" s="866"/>
      <c r="AG21" s="859">
        <f t="shared" si="28"/>
        <v>0</v>
      </c>
      <c r="AH21" s="864">
        <f t="shared" si="29"/>
        <v>0</v>
      </c>
      <c r="AI21" s="260">
        <f t="shared" si="30"/>
        <v>0</v>
      </c>
    </row>
    <row r="22" spans="1:35" ht="45" x14ac:dyDescent="0.2">
      <c r="A22" s="506" t="s">
        <v>553</v>
      </c>
      <c r="B22" s="492">
        <v>94102</v>
      </c>
      <c r="C22" s="492"/>
      <c r="D22" s="508" t="s">
        <v>461</v>
      </c>
      <c r="E22" s="843" t="s">
        <v>513</v>
      </c>
      <c r="F22" s="509">
        <f>'Mem. Calc.'!E20</f>
        <v>35.020000000000003</v>
      </c>
      <c r="G22" s="490">
        <f t="shared" si="16"/>
        <v>737.35</v>
      </c>
      <c r="H22" s="504">
        <v>25822.17</v>
      </c>
      <c r="I22" s="1387"/>
      <c r="J22" s="856"/>
      <c r="K22" s="857">
        <f t="shared" si="17"/>
        <v>0</v>
      </c>
      <c r="L22" s="858"/>
      <c r="M22" s="859">
        <f t="shared" si="18"/>
        <v>0</v>
      </c>
      <c r="N22" s="858"/>
      <c r="O22" s="859">
        <f t="shared" si="19"/>
        <v>0</v>
      </c>
      <c r="P22" s="858"/>
      <c r="Q22" s="859">
        <f t="shared" si="20"/>
        <v>0</v>
      </c>
      <c r="R22" s="858"/>
      <c r="S22" s="882">
        <f t="shared" si="21"/>
        <v>0</v>
      </c>
      <c r="T22" s="866"/>
      <c r="U22" s="882">
        <f t="shared" si="22"/>
        <v>0</v>
      </c>
      <c r="V22" s="866"/>
      <c r="W22" s="882">
        <f t="shared" si="23"/>
        <v>0</v>
      </c>
      <c r="X22" s="866"/>
      <c r="Y22" s="882">
        <f t="shared" si="24"/>
        <v>0</v>
      </c>
      <c r="Z22" s="866"/>
      <c r="AA22" s="882">
        <f t="shared" si="25"/>
        <v>0</v>
      </c>
      <c r="AB22" s="866"/>
      <c r="AC22" s="859">
        <f t="shared" si="26"/>
        <v>0</v>
      </c>
      <c r="AD22" s="866"/>
      <c r="AE22" s="859">
        <f t="shared" si="27"/>
        <v>0</v>
      </c>
      <c r="AF22" s="866"/>
      <c r="AG22" s="859">
        <f t="shared" si="28"/>
        <v>0</v>
      </c>
      <c r="AH22" s="864">
        <f t="shared" si="29"/>
        <v>0</v>
      </c>
      <c r="AI22" s="260">
        <f t="shared" si="30"/>
        <v>0</v>
      </c>
    </row>
    <row r="23" spans="1:35" ht="75" x14ac:dyDescent="0.2">
      <c r="A23" s="506" t="s">
        <v>554</v>
      </c>
      <c r="B23" s="507">
        <v>93379</v>
      </c>
      <c r="C23" s="507"/>
      <c r="D23" s="510" t="s">
        <v>413</v>
      </c>
      <c r="E23" s="843" t="s">
        <v>513</v>
      </c>
      <c r="F23" s="509">
        <f>'Mem. Calc.'!E21</f>
        <v>466.4</v>
      </c>
      <c r="G23" s="490">
        <f t="shared" si="16"/>
        <v>52.59</v>
      </c>
      <c r="H23" s="504">
        <v>24526.37</v>
      </c>
      <c r="I23" s="1387"/>
      <c r="J23" s="856"/>
      <c r="K23" s="857">
        <f t="shared" si="17"/>
        <v>0</v>
      </c>
      <c r="L23" s="858"/>
      <c r="M23" s="859">
        <f t="shared" si="18"/>
        <v>0</v>
      </c>
      <c r="N23" s="858"/>
      <c r="O23" s="859">
        <f t="shared" si="19"/>
        <v>0</v>
      </c>
      <c r="P23" s="858"/>
      <c r="Q23" s="859">
        <f t="shared" si="20"/>
        <v>0</v>
      </c>
      <c r="R23" s="858"/>
      <c r="S23" s="882">
        <f t="shared" si="21"/>
        <v>0</v>
      </c>
      <c r="T23" s="866"/>
      <c r="U23" s="882">
        <f t="shared" si="22"/>
        <v>0</v>
      </c>
      <c r="V23" s="866"/>
      <c r="W23" s="882">
        <f t="shared" si="23"/>
        <v>0</v>
      </c>
      <c r="X23" s="866"/>
      <c r="Y23" s="882">
        <f t="shared" si="24"/>
        <v>0</v>
      </c>
      <c r="Z23" s="866"/>
      <c r="AA23" s="882">
        <f t="shared" si="25"/>
        <v>0</v>
      </c>
      <c r="AB23" s="866"/>
      <c r="AC23" s="859">
        <f t="shared" si="26"/>
        <v>0</v>
      </c>
      <c r="AD23" s="866"/>
      <c r="AE23" s="859">
        <f t="shared" si="27"/>
        <v>0</v>
      </c>
      <c r="AF23" s="866"/>
      <c r="AG23" s="859">
        <f t="shared" si="28"/>
        <v>0</v>
      </c>
      <c r="AH23" s="864">
        <f t="shared" si="29"/>
        <v>0</v>
      </c>
      <c r="AI23" s="260">
        <f t="shared" si="30"/>
        <v>0</v>
      </c>
    </row>
    <row r="24" spans="1:35" ht="75" x14ac:dyDescent="0.2">
      <c r="A24" s="506" t="s">
        <v>555</v>
      </c>
      <c r="B24" s="507">
        <v>93381</v>
      </c>
      <c r="C24" s="507"/>
      <c r="D24" s="510" t="s">
        <v>414</v>
      </c>
      <c r="E24" s="843" t="s">
        <v>513</v>
      </c>
      <c r="F24" s="509">
        <f>'Mem. Calc.'!E22</f>
        <v>103.64</v>
      </c>
      <c r="G24" s="490">
        <f t="shared" si="16"/>
        <v>47.52</v>
      </c>
      <c r="H24" s="504">
        <v>4925.1099999999997</v>
      </c>
      <c r="I24" s="1387"/>
      <c r="J24" s="856"/>
      <c r="K24" s="857">
        <f t="shared" si="17"/>
        <v>0</v>
      </c>
      <c r="L24" s="858"/>
      <c r="M24" s="859">
        <f t="shared" si="18"/>
        <v>0</v>
      </c>
      <c r="N24" s="858"/>
      <c r="O24" s="859">
        <f t="shared" si="19"/>
        <v>0</v>
      </c>
      <c r="P24" s="858"/>
      <c r="Q24" s="859">
        <f t="shared" si="20"/>
        <v>0</v>
      </c>
      <c r="R24" s="858"/>
      <c r="S24" s="882">
        <f t="shared" si="21"/>
        <v>0</v>
      </c>
      <c r="T24" s="866"/>
      <c r="U24" s="882">
        <f t="shared" si="22"/>
        <v>0</v>
      </c>
      <c r="V24" s="866"/>
      <c r="W24" s="882">
        <f t="shared" si="23"/>
        <v>0</v>
      </c>
      <c r="X24" s="866"/>
      <c r="Y24" s="882">
        <f t="shared" si="24"/>
        <v>0</v>
      </c>
      <c r="Z24" s="866"/>
      <c r="AA24" s="882">
        <f t="shared" si="25"/>
        <v>0</v>
      </c>
      <c r="AB24" s="866"/>
      <c r="AC24" s="859">
        <f t="shared" si="26"/>
        <v>0</v>
      </c>
      <c r="AD24" s="866"/>
      <c r="AE24" s="859">
        <f t="shared" si="27"/>
        <v>0</v>
      </c>
      <c r="AF24" s="866"/>
      <c r="AG24" s="859">
        <f t="shared" si="28"/>
        <v>0</v>
      </c>
      <c r="AH24" s="864">
        <f t="shared" si="29"/>
        <v>0</v>
      </c>
      <c r="AI24" s="260">
        <f t="shared" si="30"/>
        <v>0</v>
      </c>
    </row>
    <row r="25" spans="1:35" ht="15" customHeight="1" x14ac:dyDescent="0.2">
      <c r="A25" s="493"/>
      <c r="B25" s="494"/>
      <c r="C25" s="494"/>
      <c r="D25" s="502" t="s">
        <v>7</v>
      </c>
      <c r="E25" s="501"/>
      <c r="F25" s="503"/>
      <c r="G25" s="497"/>
      <c r="H25" s="503">
        <f>SUM(H19:H24)</f>
        <v>85263.15</v>
      </c>
      <c r="I25" s="1387"/>
      <c r="J25" s="858"/>
      <c r="K25" s="860"/>
      <c r="L25" s="858"/>
      <c r="M25" s="859"/>
      <c r="N25" s="858"/>
      <c r="O25" s="410"/>
      <c r="P25" s="858"/>
      <c r="Q25" s="410"/>
      <c r="R25" s="858"/>
      <c r="S25" s="882"/>
      <c r="T25" s="866"/>
      <c r="U25" s="882"/>
      <c r="V25" s="866"/>
      <c r="W25" s="882"/>
      <c r="X25" s="866"/>
      <c r="Y25" s="882"/>
      <c r="Z25" s="866"/>
      <c r="AA25" s="882"/>
      <c r="AB25" s="866"/>
      <c r="AC25" s="410"/>
      <c r="AD25" s="866"/>
      <c r="AE25" s="410"/>
      <c r="AF25" s="866"/>
      <c r="AG25" s="410"/>
    </row>
    <row r="26" spans="1:35" ht="15" customHeight="1" x14ac:dyDescent="0.2">
      <c r="A26" s="493" t="s">
        <v>26</v>
      </c>
      <c r="B26" s="494"/>
      <c r="C26" s="494"/>
      <c r="D26" s="840" t="s">
        <v>133</v>
      </c>
      <c r="E26" s="501"/>
      <c r="F26" s="503"/>
      <c r="G26" s="497"/>
      <c r="H26" s="503"/>
      <c r="I26" s="1387"/>
      <c r="J26" s="858" t="s">
        <v>557</v>
      </c>
      <c r="K26" s="860"/>
      <c r="L26" s="858"/>
      <c r="M26" s="410"/>
      <c r="N26" s="858"/>
      <c r="O26" s="410"/>
      <c r="P26" s="858"/>
      <c r="Q26" s="410"/>
      <c r="R26" s="858"/>
      <c r="S26" s="882"/>
      <c r="T26" s="866"/>
      <c r="U26" s="882"/>
      <c r="V26" s="866"/>
      <c r="W26" s="882"/>
      <c r="X26" s="866"/>
      <c r="Y26" s="882"/>
      <c r="Z26" s="866"/>
      <c r="AA26" s="882"/>
      <c r="AB26" s="866"/>
      <c r="AC26" s="410"/>
      <c r="AD26" s="866"/>
      <c r="AE26" s="410"/>
      <c r="AF26" s="866"/>
      <c r="AG26" s="410"/>
    </row>
    <row r="27" spans="1:35" ht="60" x14ac:dyDescent="0.2">
      <c r="A27" s="487" t="s">
        <v>151</v>
      </c>
      <c r="B27" s="492">
        <v>92210</v>
      </c>
      <c r="C27" s="492"/>
      <c r="D27" s="510" t="s">
        <v>415</v>
      </c>
      <c r="E27" s="492" t="s">
        <v>514</v>
      </c>
      <c r="F27" s="504">
        <f>'Mem. Calc.'!E24</f>
        <v>60</v>
      </c>
      <c r="G27" s="490">
        <f t="shared" ref="G27:G29" si="31">H27/F27</f>
        <v>305.41000000000003</v>
      </c>
      <c r="H27" s="504">
        <v>18324.82</v>
      </c>
      <c r="I27" s="1387"/>
      <c r="J27" s="856"/>
      <c r="K27" s="857">
        <f t="shared" ref="K27:K29" si="32">F27*J27</f>
        <v>0</v>
      </c>
      <c r="L27" s="858"/>
      <c r="M27" s="859">
        <f t="shared" ref="M27:M29" si="33">F27*L27</f>
        <v>0</v>
      </c>
      <c r="N27" s="858"/>
      <c r="O27" s="859">
        <f t="shared" ref="O27:O29" si="34">N27*F27</f>
        <v>0</v>
      </c>
      <c r="P27" s="858"/>
      <c r="Q27" s="859">
        <f t="shared" ref="Q27:Q29" si="35">P27*F27</f>
        <v>0</v>
      </c>
      <c r="R27" s="858"/>
      <c r="S27" s="882">
        <f t="shared" ref="S27:S29" si="36">R27*F27</f>
        <v>0</v>
      </c>
      <c r="T27" s="866"/>
      <c r="U27" s="882">
        <f t="shared" ref="U27:U29" si="37">T27*F27</f>
        <v>0</v>
      </c>
      <c r="V27" s="866"/>
      <c r="W27" s="882">
        <f t="shared" ref="W27:W29" si="38">V27*F27</f>
        <v>0</v>
      </c>
      <c r="X27" s="866"/>
      <c r="Y27" s="882">
        <f t="shared" ref="Y27:Y29" si="39">X27*F27</f>
        <v>0</v>
      </c>
      <c r="Z27" s="866"/>
      <c r="AA27" s="882">
        <f t="shared" ref="AA27:AA29" si="40">Z27*F27</f>
        <v>0</v>
      </c>
      <c r="AB27" s="866"/>
      <c r="AC27" s="859">
        <f t="shared" ref="AC27:AC29" si="41">AB27*F27</f>
        <v>0</v>
      </c>
      <c r="AD27" s="866"/>
      <c r="AE27" s="859">
        <f t="shared" ref="AE27:AE29" si="42">AD27*F27</f>
        <v>0</v>
      </c>
      <c r="AF27" s="866"/>
      <c r="AG27" s="859">
        <f t="shared" ref="AG27:AG29" si="43">AF27*F27</f>
        <v>0</v>
      </c>
      <c r="AH27" s="864">
        <f t="shared" ref="AH27:AH29" si="44">AF27+AD27+AB27+Z27+X27+V27+T27+R27+P27+N27+L27+J27</f>
        <v>0</v>
      </c>
      <c r="AI27" s="260">
        <f t="shared" ref="AI27:AI29" si="45">AG27+AE27+AC27+AA27+Y27+W27+U27+S27+Q27+O27+M27+K27</f>
        <v>0</v>
      </c>
    </row>
    <row r="28" spans="1:35" ht="60" x14ac:dyDescent="0.2">
      <c r="A28" s="487" t="s">
        <v>152</v>
      </c>
      <c r="B28" s="492">
        <v>92214</v>
      </c>
      <c r="C28" s="492"/>
      <c r="D28" s="510" t="s">
        <v>416</v>
      </c>
      <c r="E28" s="492" t="s">
        <v>514</v>
      </c>
      <c r="F28" s="504">
        <f>'Mem. Calc.'!E26</f>
        <v>143</v>
      </c>
      <c r="G28" s="490">
        <f t="shared" si="31"/>
        <v>673.71</v>
      </c>
      <c r="H28" s="504">
        <v>96341.06</v>
      </c>
      <c r="I28" s="1387"/>
      <c r="J28" s="856"/>
      <c r="K28" s="857">
        <f t="shared" si="32"/>
        <v>0</v>
      </c>
      <c r="L28" s="858"/>
      <c r="M28" s="859">
        <f t="shared" si="33"/>
        <v>0</v>
      </c>
      <c r="N28" s="858"/>
      <c r="O28" s="859">
        <f t="shared" si="34"/>
        <v>0</v>
      </c>
      <c r="P28" s="858"/>
      <c r="Q28" s="859">
        <f t="shared" si="35"/>
        <v>0</v>
      </c>
      <c r="R28" s="858"/>
      <c r="S28" s="882">
        <f t="shared" si="36"/>
        <v>0</v>
      </c>
      <c r="T28" s="866"/>
      <c r="U28" s="882">
        <f t="shared" si="37"/>
        <v>0</v>
      </c>
      <c r="V28" s="866"/>
      <c r="W28" s="882">
        <f t="shared" si="38"/>
        <v>0</v>
      </c>
      <c r="X28" s="866"/>
      <c r="Y28" s="882">
        <f t="shared" si="39"/>
        <v>0</v>
      </c>
      <c r="Z28" s="866"/>
      <c r="AA28" s="882">
        <f t="shared" si="40"/>
        <v>0</v>
      </c>
      <c r="AB28" s="866"/>
      <c r="AC28" s="859">
        <f t="shared" si="41"/>
        <v>0</v>
      </c>
      <c r="AD28" s="866"/>
      <c r="AE28" s="859">
        <f t="shared" si="42"/>
        <v>0</v>
      </c>
      <c r="AF28" s="866"/>
      <c r="AG28" s="859">
        <f t="shared" si="43"/>
        <v>0</v>
      </c>
      <c r="AH28" s="864">
        <f t="shared" si="44"/>
        <v>0</v>
      </c>
      <c r="AI28" s="260">
        <f t="shared" si="45"/>
        <v>0</v>
      </c>
    </row>
    <row r="29" spans="1:35" ht="60" x14ac:dyDescent="0.2">
      <c r="A29" s="487" t="s">
        <v>153</v>
      </c>
      <c r="B29" s="492">
        <v>92216</v>
      </c>
      <c r="C29" s="492"/>
      <c r="D29" s="510" t="s">
        <v>417</v>
      </c>
      <c r="E29" s="492" t="s">
        <v>514</v>
      </c>
      <c r="F29" s="504" t="e">
        <f>'Mem. Calc.'!#REF!</f>
        <v>#REF!</v>
      </c>
      <c r="G29" s="490" t="e">
        <f t="shared" si="31"/>
        <v>#REF!</v>
      </c>
      <c r="H29" s="504">
        <v>144581.12</v>
      </c>
      <c r="I29" s="1387"/>
      <c r="J29" s="856"/>
      <c r="K29" s="857" t="e">
        <f t="shared" si="32"/>
        <v>#REF!</v>
      </c>
      <c r="L29" s="858"/>
      <c r="M29" s="859" t="e">
        <f t="shared" si="33"/>
        <v>#REF!</v>
      </c>
      <c r="N29" s="858"/>
      <c r="O29" s="859" t="e">
        <f t="shared" si="34"/>
        <v>#REF!</v>
      </c>
      <c r="P29" s="858"/>
      <c r="Q29" s="859" t="e">
        <f t="shared" si="35"/>
        <v>#REF!</v>
      </c>
      <c r="R29" s="858"/>
      <c r="S29" s="882" t="e">
        <f t="shared" si="36"/>
        <v>#REF!</v>
      </c>
      <c r="T29" s="866"/>
      <c r="U29" s="882" t="e">
        <f t="shared" si="37"/>
        <v>#REF!</v>
      </c>
      <c r="V29" s="866"/>
      <c r="W29" s="882" t="e">
        <f t="shared" si="38"/>
        <v>#REF!</v>
      </c>
      <c r="X29" s="866"/>
      <c r="Y29" s="882" t="e">
        <f t="shared" si="39"/>
        <v>#REF!</v>
      </c>
      <c r="Z29" s="866"/>
      <c r="AA29" s="882" t="e">
        <f t="shared" si="40"/>
        <v>#REF!</v>
      </c>
      <c r="AB29" s="866"/>
      <c r="AC29" s="859" t="e">
        <f t="shared" si="41"/>
        <v>#REF!</v>
      </c>
      <c r="AD29" s="866"/>
      <c r="AE29" s="859" t="e">
        <f t="shared" si="42"/>
        <v>#REF!</v>
      </c>
      <c r="AF29" s="866"/>
      <c r="AG29" s="859" t="e">
        <f t="shared" si="43"/>
        <v>#REF!</v>
      </c>
      <c r="AH29" s="864">
        <f t="shared" si="44"/>
        <v>0</v>
      </c>
      <c r="AI29" s="260" t="e">
        <f t="shared" si="45"/>
        <v>#REF!</v>
      </c>
    </row>
    <row r="30" spans="1:35" ht="15" customHeight="1" x14ac:dyDescent="0.2">
      <c r="A30" s="493"/>
      <c r="B30" s="494"/>
      <c r="C30" s="494"/>
      <c r="D30" s="502" t="s">
        <v>7</v>
      </c>
      <c r="E30" s="501"/>
      <c r="F30" s="503"/>
      <c r="G30" s="497"/>
      <c r="H30" s="503">
        <f>SUM(H27:H29)</f>
        <v>259247</v>
      </c>
      <c r="I30" s="1387"/>
      <c r="J30" s="858"/>
      <c r="K30" s="860"/>
      <c r="L30" s="858"/>
      <c r="M30" s="410"/>
      <c r="N30" s="858"/>
      <c r="O30" s="410"/>
      <c r="P30" s="858"/>
      <c r="Q30" s="410"/>
      <c r="R30" s="858"/>
      <c r="S30" s="882"/>
      <c r="T30" s="866"/>
      <c r="U30" s="882"/>
      <c r="V30" s="866"/>
      <c r="W30" s="882"/>
      <c r="X30" s="866"/>
      <c r="Y30" s="882"/>
      <c r="Z30" s="866"/>
      <c r="AA30" s="882"/>
      <c r="AB30" s="866"/>
      <c r="AC30" s="410"/>
      <c r="AD30" s="866"/>
      <c r="AE30" s="410"/>
      <c r="AF30" s="866"/>
      <c r="AG30" s="410"/>
    </row>
    <row r="31" spans="1:35" ht="15" customHeight="1" x14ac:dyDescent="0.2">
      <c r="A31" s="493" t="s">
        <v>27</v>
      </c>
      <c r="B31" s="494"/>
      <c r="C31" s="494"/>
      <c r="D31" s="840" t="s">
        <v>51</v>
      </c>
      <c r="E31" s="501"/>
      <c r="F31" s="503"/>
      <c r="G31" s="497"/>
      <c r="H31" s="503"/>
      <c r="I31" s="1387"/>
      <c r="J31" s="858"/>
      <c r="K31" s="860"/>
      <c r="L31" s="858"/>
      <c r="M31" s="410"/>
      <c r="N31" s="858"/>
      <c r="O31" s="410"/>
      <c r="P31" s="858"/>
      <c r="Q31" s="410"/>
      <c r="R31" s="858"/>
      <c r="S31" s="882"/>
      <c r="T31" s="866"/>
      <c r="U31" s="882"/>
      <c r="V31" s="866"/>
      <c r="W31" s="882"/>
      <c r="X31" s="866"/>
      <c r="Y31" s="882"/>
      <c r="Z31" s="866"/>
      <c r="AA31" s="882"/>
      <c r="AB31" s="866"/>
      <c r="AC31" s="410"/>
      <c r="AD31" s="866"/>
      <c r="AE31" s="410"/>
      <c r="AF31" s="866"/>
      <c r="AG31" s="410"/>
    </row>
    <row r="32" spans="1:35" ht="30" x14ac:dyDescent="0.2">
      <c r="A32" s="487" t="s">
        <v>39</v>
      </c>
      <c r="B32" s="843">
        <v>83710</v>
      </c>
      <c r="C32" s="843"/>
      <c r="D32" s="841" t="s">
        <v>506</v>
      </c>
      <c r="E32" s="492" t="s">
        <v>49</v>
      </c>
      <c r="F32" s="504">
        <f>'Mem. Calc.'!E28</f>
        <v>1</v>
      </c>
      <c r="G32" s="490">
        <f t="shared" ref="G32:G37" si="46">H32/F32</f>
        <v>14498.19</v>
      </c>
      <c r="H32" s="504">
        <v>14498.19</v>
      </c>
      <c r="I32" s="1387"/>
      <c r="J32" s="856"/>
      <c r="K32" s="857">
        <f t="shared" ref="K32:K37" si="47">F32*J32</f>
        <v>0</v>
      </c>
      <c r="L32" s="858"/>
      <c r="M32" s="859">
        <f t="shared" ref="M32:M37" si="48">F32*L32</f>
        <v>0</v>
      </c>
      <c r="N32" s="858"/>
      <c r="O32" s="859">
        <f t="shared" ref="O32:O37" si="49">N32*F32</f>
        <v>0</v>
      </c>
      <c r="P32" s="858"/>
      <c r="Q32" s="859">
        <f t="shared" ref="Q32:Q37" si="50">P32*F32</f>
        <v>0</v>
      </c>
      <c r="R32" s="858"/>
      <c r="S32" s="882">
        <f t="shared" ref="S32:S37" si="51">R32*F32</f>
        <v>0</v>
      </c>
      <c r="T32" s="866"/>
      <c r="U32" s="882">
        <f t="shared" ref="U32:U37" si="52">T32*F32</f>
        <v>0</v>
      </c>
      <c r="V32" s="866"/>
      <c r="W32" s="882">
        <f t="shared" ref="W32:W37" si="53">V32*F32</f>
        <v>0</v>
      </c>
      <c r="X32" s="866"/>
      <c r="Y32" s="882">
        <f t="shared" ref="Y32:Y37" si="54">X32*F32</f>
        <v>0</v>
      </c>
      <c r="Z32" s="866"/>
      <c r="AA32" s="882">
        <f t="shared" ref="AA32:AA37" si="55">Z32*F32</f>
        <v>0</v>
      </c>
      <c r="AB32" s="866"/>
      <c r="AC32" s="859">
        <f t="shared" ref="AC32:AC37" si="56">AB32*F32</f>
        <v>0</v>
      </c>
      <c r="AD32" s="866"/>
      <c r="AE32" s="859">
        <f t="shared" ref="AE32:AE37" si="57">AD32*F32</f>
        <v>0</v>
      </c>
      <c r="AF32" s="866"/>
      <c r="AG32" s="859">
        <f t="shared" ref="AG32:AG37" si="58">AF32*F32</f>
        <v>0</v>
      </c>
      <c r="AH32" s="864">
        <f t="shared" ref="AH32:AH37" si="59">AF32+AD32+AB32+Z32+X32+V32+T32+R32+P32+N32+L32+J32</f>
        <v>0</v>
      </c>
      <c r="AI32" s="260">
        <f t="shared" ref="AI32:AI37" si="60">AG32+AE32+AC32+AA32+Y32+W32+U32+S32+Q32+O32+M32+K32</f>
        <v>0</v>
      </c>
    </row>
    <row r="33" spans="1:35" ht="30" x14ac:dyDescent="0.2">
      <c r="A33" s="487" t="s">
        <v>154</v>
      </c>
      <c r="B33" s="843">
        <v>83711</v>
      </c>
      <c r="C33" s="843"/>
      <c r="D33" s="841" t="s">
        <v>507</v>
      </c>
      <c r="E33" s="492" t="s">
        <v>49</v>
      </c>
      <c r="F33" s="504">
        <f>'Mem. Calc.'!E29</f>
        <v>2</v>
      </c>
      <c r="G33" s="490">
        <f t="shared" si="46"/>
        <v>14698.74</v>
      </c>
      <c r="H33" s="504">
        <v>29397.48</v>
      </c>
      <c r="I33" s="1387"/>
      <c r="J33" s="856"/>
      <c r="K33" s="857">
        <f t="shared" si="47"/>
        <v>0</v>
      </c>
      <c r="L33" s="858"/>
      <c r="M33" s="859">
        <f t="shared" si="48"/>
        <v>0</v>
      </c>
      <c r="N33" s="858"/>
      <c r="O33" s="859">
        <f t="shared" si="49"/>
        <v>0</v>
      </c>
      <c r="P33" s="858"/>
      <c r="Q33" s="859">
        <f t="shared" si="50"/>
        <v>0</v>
      </c>
      <c r="R33" s="858"/>
      <c r="S33" s="882">
        <f t="shared" si="51"/>
        <v>0</v>
      </c>
      <c r="T33" s="866"/>
      <c r="U33" s="882">
        <f t="shared" si="52"/>
        <v>0</v>
      </c>
      <c r="V33" s="866"/>
      <c r="W33" s="882">
        <f t="shared" si="53"/>
        <v>0</v>
      </c>
      <c r="X33" s="866"/>
      <c r="Y33" s="882">
        <f t="shared" si="54"/>
        <v>0</v>
      </c>
      <c r="Z33" s="866"/>
      <c r="AA33" s="882">
        <f t="shared" si="55"/>
        <v>0</v>
      </c>
      <c r="AB33" s="866"/>
      <c r="AC33" s="859">
        <f t="shared" si="56"/>
        <v>0</v>
      </c>
      <c r="AD33" s="866"/>
      <c r="AE33" s="859">
        <f t="shared" si="57"/>
        <v>0</v>
      </c>
      <c r="AF33" s="866"/>
      <c r="AG33" s="859">
        <f t="shared" si="58"/>
        <v>0</v>
      </c>
      <c r="AH33" s="864">
        <f t="shared" si="59"/>
        <v>0</v>
      </c>
      <c r="AI33" s="260">
        <f t="shared" si="60"/>
        <v>0</v>
      </c>
    </row>
    <row r="34" spans="1:35" ht="30" x14ac:dyDescent="0.2">
      <c r="A34" s="487" t="s">
        <v>242</v>
      </c>
      <c r="B34" s="843">
        <v>83715</v>
      </c>
      <c r="C34" s="843"/>
      <c r="D34" s="841" t="s">
        <v>508</v>
      </c>
      <c r="E34" s="492" t="s">
        <v>514</v>
      </c>
      <c r="F34" s="504">
        <f>'Mem. Calc.'!E30</f>
        <v>3</v>
      </c>
      <c r="G34" s="490">
        <f t="shared" si="46"/>
        <v>2687.22</v>
      </c>
      <c r="H34" s="504">
        <v>8061.65</v>
      </c>
      <c r="I34" s="1387"/>
      <c r="J34" s="856"/>
      <c r="K34" s="857">
        <f t="shared" si="47"/>
        <v>0</v>
      </c>
      <c r="L34" s="858"/>
      <c r="M34" s="859">
        <f t="shared" si="48"/>
        <v>0</v>
      </c>
      <c r="N34" s="858"/>
      <c r="O34" s="859">
        <f t="shared" si="49"/>
        <v>0</v>
      </c>
      <c r="P34" s="858"/>
      <c r="Q34" s="859">
        <f t="shared" si="50"/>
        <v>0</v>
      </c>
      <c r="R34" s="858"/>
      <c r="S34" s="882">
        <f t="shared" si="51"/>
        <v>0</v>
      </c>
      <c r="T34" s="866"/>
      <c r="U34" s="882">
        <f t="shared" si="52"/>
        <v>0</v>
      </c>
      <c r="V34" s="866"/>
      <c r="W34" s="882">
        <f t="shared" si="53"/>
        <v>0</v>
      </c>
      <c r="X34" s="866"/>
      <c r="Y34" s="882">
        <f t="shared" si="54"/>
        <v>0</v>
      </c>
      <c r="Z34" s="866"/>
      <c r="AA34" s="882">
        <f t="shared" si="55"/>
        <v>0</v>
      </c>
      <c r="AB34" s="866"/>
      <c r="AC34" s="859">
        <f t="shared" si="56"/>
        <v>0</v>
      </c>
      <c r="AD34" s="866"/>
      <c r="AE34" s="859">
        <f t="shared" si="57"/>
        <v>0</v>
      </c>
      <c r="AF34" s="866"/>
      <c r="AG34" s="859">
        <f t="shared" si="58"/>
        <v>0</v>
      </c>
      <c r="AH34" s="864">
        <f t="shared" si="59"/>
        <v>0</v>
      </c>
      <c r="AI34" s="260">
        <f t="shared" si="60"/>
        <v>0</v>
      </c>
    </row>
    <row r="35" spans="1:35" ht="60" x14ac:dyDescent="0.2">
      <c r="A35" s="487" t="s">
        <v>247</v>
      </c>
      <c r="B35" s="843">
        <v>83627</v>
      </c>
      <c r="C35" s="843"/>
      <c r="D35" s="841" t="s">
        <v>509</v>
      </c>
      <c r="E35" s="492" t="s">
        <v>49</v>
      </c>
      <c r="F35" s="504">
        <f>'Mem. Calc.'!E31</f>
        <v>3</v>
      </c>
      <c r="G35" s="490">
        <f t="shared" si="46"/>
        <v>1930.51</v>
      </c>
      <c r="H35" s="504">
        <v>5791.52</v>
      </c>
      <c r="I35" s="1387"/>
      <c r="J35" s="856"/>
      <c r="K35" s="857">
        <f t="shared" si="47"/>
        <v>0</v>
      </c>
      <c r="L35" s="858"/>
      <c r="M35" s="859">
        <f t="shared" si="48"/>
        <v>0</v>
      </c>
      <c r="N35" s="858"/>
      <c r="O35" s="859">
        <f t="shared" si="49"/>
        <v>0</v>
      </c>
      <c r="P35" s="858"/>
      <c r="Q35" s="859">
        <f t="shared" si="50"/>
        <v>0</v>
      </c>
      <c r="R35" s="858"/>
      <c r="S35" s="882">
        <f t="shared" si="51"/>
        <v>0</v>
      </c>
      <c r="T35" s="866"/>
      <c r="U35" s="882">
        <f t="shared" si="52"/>
        <v>0</v>
      </c>
      <c r="V35" s="866"/>
      <c r="W35" s="882">
        <f t="shared" si="53"/>
        <v>0</v>
      </c>
      <c r="X35" s="866"/>
      <c r="Y35" s="882">
        <f t="shared" si="54"/>
        <v>0</v>
      </c>
      <c r="Z35" s="866"/>
      <c r="AA35" s="882">
        <f t="shared" si="55"/>
        <v>0</v>
      </c>
      <c r="AB35" s="866"/>
      <c r="AC35" s="859">
        <f t="shared" si="56"/>
        <v>0</v>
      </c>
      <c r="AD35" s="866"/>
      <c r="AE35" s="859">
        <f t="shared" si="57"/>
        <v>0</v>
      </c>
      <c r="AF35" s="866"/>
      <c r="AG35" s="859">
        <f t="shared" si="58"/>
        <v>0</v>
      </c>
      <c r="AH35" s="864">
        <f t="shared" si="59"/>
        <v>0</v>
      </c>
      <c r="AI35" s="260">
        <f t="shared" si="60"/>
        <v>0</v>
      </c>
    </row>
    <row r="36" spans="1:35" ht="45" x14ac:dyDescent="0.2">
      <c r="A36" s="487" t="s">
        <v>248</v>
      </c>
      <c r="B36" s="492">
        <v>83659</v>
      </c>
      <c r="C36" s="492"/>
      <c r="D36" s="510" t="s">
        <v>462</v>
      </c>
      <c r="E36" s="492" t="s">
        <v>49</v>
      </c>
      <c r="F36" s="504">
        <f>'Mem. Calc.'!E32</f>
        <v>2</v>
      </c>
      <c r="G36" s="490">
        <f t="shared" si="46"/>
        <v>9349.83</v>
      </c>
      <c r="H36" s="504">
        <v>18699.650000000001</v>
      </c>
      <c r="I36" s="1387"/>
      <c r="J36" s="856"/>
      <c r="K36" s="857">
        <f t="shared" si="47"/>
        <v>0</v>
      </c>
      <c r="L36" s="858"/>
      <c r="M36" s="859">
        <f t="shared" si="48"/>
        <v>0</v>
      </c>
      <c r="N36" s="858"/>
      <c r="O36" s="859">
        <f t="shared" si="49"/>
        <v>0</v>
      </c>
      <c r="P36" s="858"/>
      <c r="Q36" s="859">
        <f t="shared" si="50"/>
        <v>0</v>
      </c>
      <c r="R36" s="858"/>
      <c r="S36" s="882">
        <f t="shared" si="51"/>
        <v>0</v>
      </c>
      <c r="T36" s="866"/>
      <c r="U36" s="882">
        <f t="shared" si="52"/>
        <v>0</v>
      </c>
      <c r="V36" s="866"/>
      <c r="W36" s="882">
        <f t="shared" si="53"/>
        <v>0</v>
      </c>
      <c r="X36" s="866"/>
      <c r="Y36" s="882">
        <f t="shared" si="54"/>
        <v>0</v>
      </c>
      <c r="Z36" s="866"/>
      <c r="AA36" s="882">
        <f t="shared" si="55"/>
        <v>0</v>
      </c>
      <c r="AB36" s="866"/>
      <c r="AC36" s="859">
        <f t="shared" si="56"/>
        <v>0</v>
      </c>
      <c r="AD36" s="866"/>
      <c r="AE36" s="859">
        <f t="shared" si="57"/>
        <v>0</v>
      </c>
      <c r="AF36" s="866"/>
      <c r="AG36" s="859">
        <f t="shared" si="58"/>
        <v>0</v>
      </c>
      <c r="AH36" s="864">
        <f t="shared" si="59"/>
        <v>0</v>
      </c>
      <c r="AI36" s="260">
        <f t="shared" si="60"/>
        <v>0</v>
      </c>
    </row>
    <row r="37" spans="1:35" ht="45" x14ac:dyDescent="0.2">
      <c r="A37" s="487" t="s">
        <v>564</v>
      </c>
      <c r="B37" s="492">
        <v>83690</v>
      </c>
      <c r="C37" s="492"/>
      <c r="D37" s="510" t="s">
        <v>510</v>
      </c>
      <c r="E37" s="843" t="s">
        <v>513</v>
      </c>
      <c r="F37" s="504">
        <f>'Mem. Calc.'!E33</f>
        <v>4</v>
      </c>
      <c r="G37" s="490">
        <f t="shared" si="46"/>
        <v>277.81</v>
      </c>
      <c r="H37" s="504">
        <v>1111.24</v>
      </c>
      <c r="I37" s="1387"/>
      <c r="J37" s="856"/>
      <c r="K37" s="857">
        <f t="shared" si="47"/>
        <v>0</v>
      </c>
      <c r="L37" s="858"/>
      <c r="M37" s="859">
        <f t="shared" si="48"/>
        <v>0</v>
      </c>
      <c r="N37" s="858"/>
      <c r="O37" s="859">
        <f t="shared" si="49"/>
        <v>0</v>
      </c>
      <c r="P37" s="858"/>
      <c r="Q37" s="859">
        <f t="shared" si="50"/>
        <v>0</v>
      </c>
      <c r="R37" s="858"/>
      <c r="S37" s="882">
        <f t="shared" si="51"/>
        <v>0</v>
      </c>
      <c r="T37" s="866"/>
      <c r="U37" s="882">
        <f t="shared" si="52"/>
        <v>0</v>
      </c>
      <c r="V37" s="866"/>
      <c r="W37" s="882">
        <f t="shared" si="53"/>
        <v>0</v>
      </c>
      <c r="X37" s="866"/>
      <c r="Y37" s="882">
        <f t="shared" si="54"/>
        <v>0</v>
      </c>
      <c r="Z37" s="866"/>
      <c r="AA37" s="882">
        <f t="shared" si="55"/>
        <v>0</v>
      </c>
      <c r="AB37" s="866"/>
      <c r="AC37" s="859">
        <f t="shared" si="56"/>
        <v>0</v>
      </c>
      <c r="AD37" s="866"/>
      <c r="AE37" s="859">
        <f t="shared" si="57"/>
        <v>0</v>
      </c>
      <c r="AF37" s="866"/>
      <c r="AG37" s="859">
        <f t="shared" si="58"/>
        <v>0</v>
      </c>
      <c r="AH37" s="864">
        <f t="shared" si="59"/>
        <v>0</v>
      </c>
      <c r="AI37" s="260">
        <f t="shared" si="60"/>
        <v>0</v>
      </c>
    </row>
    <row r="38" spans="1:35" s="249" customFormat="1" ht="14.25" customHeight="1" x14ac:dyDescent="0.2">
      <c r="A38" s="493"/>
      <c r="B38" s="501"/>
      <c r="C38" s="501"/>
      <c r="D38" s="840" t="s">
        <v>7</v>
      </c>
      <c r="E38" s="501"/>
      <c r="F38" s="503"/>
      <c r="G38" s="497"/>
      <c r="H38" s="503">
        <f>SUM(H32:H37)</f>
        <v>77559.73</v>
      </c>
      <c r="I38" s="1387"/>
      <c r="J38" s="861"/>
      <c r="K38" s="862"/>
      <c r="L38" s="861"/>
      <c r="M38" s="863"/>
      <c r="N38" s="861"/>
      <c r="O38" s="863"/>
      <c r="P38" s="861"/>
      <c r="Q38" s="863"/>
      <c r="R38" s="861"/>
      <c r="S38" s="883"/>
      <c r="T38" s="867"/>
      <c r="U38" s="883"/>
      <c r="V38" s="867"/>
      <c r="W38" s="883"/>
      <c r="X38" s="867"/>
      <c r="Y38" s="883"/>
      <c r="Z38" s="867"/>
      <c r="AA38" s="883"/>
      <c r="AB38" s="867"/>
      <c r="AC38" s="863"/>
      <c r="AD38" s="867"/>
      <c r="AE38" s="863"/>
      <c r="AF38" s="867"/>
      <c r="AG38" s="863"/>
    </row>
    <row r="39" spans="1:35" s="249" customFormat="1" ht="14.25" customHeight="1" x14ac:dyDescent="0.2">
      <c r="A39" s="493" t="s">
        <v>28</v>
      </c>
      <c r="B39" s="501"/>
      <c r="C39" s="501"/>
      <c r="D39" s="840" t="s">
        <v>52</v>
      </c>
      <c r="E39" s="501"/>
      <c r="F39" s="502"/>
      <c r="G39" s="497"/>
      <c r="H39" s="503"/>
      <c r="I39" s="1387"/>
      <c r="J39" s="861"/>
      <c r="K39" s="862"/>
      <c r="L39" s="861"/>
      <c r="M39" s="863"/>
      <c r="N39" s="861"/>
      <c r="O39" s="863"/>
      <c r="P39" s="861"/>
      <c r="Q39" s="863"/>
      <c r="R39" s="861"/>
      <c r="S39" s="883"/>
      <c r="T39" s="867"/>
      <c r="U39" s="883"/>
      <c r="V39" s="867"/>
      <c r="W39" s="883"/>
      <c r="X39" s="867"/>
      <c r="Y39" s="883"/>
      <c r="Z39" s="867"/>
      <c r="AA39" s="883"/>
      <c r="AB39" s="867"/>
      <c r="AC39" s="863"/>
      <c r="AD39" s="867"/>
      <c r="AE39" s="863"/>
      <c r="AF39" s="867"/>
      <c r="AG39" s="863"/>
    </row>
    <row r="40" spans="1:35" ht="15" customHeight="1" x14ac:dyDescent="0.2">
      <c r="A40" s="487" t="s">
        <v>40</v>
      </c>
      <c r="B40" s="492" t="s">
        <v>53</v>
      </c>
      <c r="C40" s="492"/>
      <c r="D40" s="510" t="s">
        <v>54</v>
      </c>
      <c r="E40" s="492" t="s">
        <v>514</v>
      </c>
      <c r="F40" s="504">
        <f>'Mem. Calc.'!E36</f>
        <v>69.5</v>
      </c>
      <c r="G40" s="490">
        <f t="shared" ref="G40" si="61">H40/F40</f>
        <v>9.5399999999999991</v>
      </c>
      <c r="H40" s="504">
        <v>663.23</v>
      </c>
      <c r="I40" s="1387"/>
      <c r="J40" s="856"/>
      <c r="K40" s="857">
        <f>F40*J40</f>
        <v>0</v>
      </c>
      <c r="L40" s="858"/>
      <c r="M40" s="859">
        <f>F40*L40</f>
        <v>0</v>
      </c>
      <c r="N40" s="858"/>
      <c r="O40" s="859">
        <f>N40*F40</f>
        <v>0</v>
      </c>
      <c r="P40" s="858"/>
      <c r="Q40" s="859">
        <f>P40*F40</f>
        <v>0</v>
      </c>
      <c r="R40" s="858"/>
      <c r="S40" s="882">
        <f>R40*F40</f>
        <v>0</v>
      </c>
      <c r="T40" s="866"/>
      <c r="U40" s="882">
        <f>T40*F40</f>
        <v>0</v>
      </c>
      <c r="V40" s="866"/>
      <c r="W40" s="882">
        <f>V40*F40</f>
        <v>0</v>
      </c>
      <c r="X40" s="866"/>
      <c r="Y40" s="882">
        <f>X40*F40</f>
        <v>0</v>
      </c>
      <c r="Z40" s="866"/>
      <c r="AA40" s="882">
        <f>Z40*F40</f>
        <v>0</v>
      </c>
      <c r="AB40" s="866"/>
      <c r="AC40" s="859">
        <f>AB40*F40</f>
        <v>0</v>
      </c>
      <c r="AD40" s="866"/>
      <c r="AE40" s="859">
        <f>AD40*F40</f>
        <v>0</v>
      </c>
      <c r="AF40" s="866"/>
      <c r="AG40" s="859">
        <f>AF40*F40</f>
        <v>0</v>
      </c>
      <c r="AH40" s="864">
        <f>AF40+AD40+AB40+Z40+X40+V40+T40+R40+P40+N40+L40+J40</f>
        <v>0</v>
      </c>
      <c r="AI40" s="260">
        <f>AG40+AE40+AC40+AA40+Y40+W40+U40+S40+Q40+O40+M40+K40</f>
        <v>0</v>
      </c>
    </row>
    <row r="41" spans="1:35" s="249" customFormat="1" ht="14.25" customHeight="1" x14ac:dyDescent="0.2">
      <c r="A41" s="493"/>
      <c r="B41" s="494"/>
      <c r="C41" s="494"/>
      <c r="D41" s="502" t="s">
        <v>7</v>
      </c>
      <c r="E41" s="501"/>
      <c r="F41" s="503"/>
      <c r="G41" s="497"/>
      <c r="H41" s="503">
        <f>SUM(H40)</f>
        <v>663.23</v>
      </c>
      <c r="I41" s="1388"/>
      <c r="J41" s="861"/>
      <c r="K41" s="862"/>
      <c r="L41" s="861"/>
      <c r="M41" s="863"/>
      <c r="N41" s="861"/>
      <c r="O41" s="863"/>
      <c r="P41" s="861"/>
      <c r="Q41" s="863"/>
      <c r="R41" s="861"/>
      <c r="S41" s="883"/>
      <c r="T41" s="867"/>
      <c r="U41" s="883"/>
      <c r="V41" s="867"/>
      <c r="W41" s="883"/>
      <c r="X41" s="867"/>
      <c r="Y41" s="883"/>
      <c r="Z41" s="867"/>
      <c r="AA41" s="883"/>
      <c r="AB41" s="867"/>
      <c r="AC41" s="863"/>
      <c r="AD41" s="867"/>
      <c r="AE41" s="863"/>
      <c r="AF41" s="867"/>
      <c r="AG41" s="863"/>
    </row>
    <row r="42" spans="1:35" x14ac:dyDescent="0.2">
      <c r="A42" s="481">
        <v>4</v>
      </c>
      <c r="B42" s="482"/>
      <c r="C42" s="482"/>
      <c r="D42" s="498" t="s">
        <v>215</v>
      </c>
      <c r="E42" s="512"/>
      <c r="F42" s="513"/>
      <c r="G42" s="485"/>
      <c r="H42" s="514"/>
      <c r="I42" s="854"/>
      <c r="J42" s="858"/>
      <c r="K42" s="860"/>
      <c r="L42" s="858"/>
      <c r="M42" s="410"/>
      <c r="N42" s="858"/>
      <c r="O42" s="410"/>
      <c r="P42" s="858"/>
      <c r="Q42" s="410"/>
      <c r="R42" s="858"/>
      <c r="S42" s="882"/>
      <c r="T42" s="866"/>
      <c r="U42" s="882"/>
      <c r="V42" s="866"/>
      <c r="W42" s="882"/>
      <c r="X42" s="866"/>
      <c r="Y42" s="882"/>
      <c r="Z42" s="866"/>
      <c r="AA42" s="882"/>
      <c r="AB42" s="866"/>
      <c r="AC42" s="410"/>
      <c r="AD42" s="866"/>
      <c r="AE42" s="410"/>
      <c r="AF42" s="866"/>
      <c r="AG42" s="410"/>
    </row>
    <row r="43" spans="1:35" s="874" customFormat="1" x14ac:dyDescent="0.2">
      <c r="A43" s="868" t="s">
        <v>163</v>
      </c>
      <c r="B43" s="869"/>
      <c r="C43" s="869"/>
      <c r="D43" s="879" t="s">
        <v>338</v>
      </c>
      <c r="E43" s="879"/>
      <c r="F43" s="879"/>
      <c r="G43" s="870"/>
      <c r="H43" s="871"/>
      <c r="I43" s="1389">
        <f>(SUM(H43:H74)/2)/H75</f>
        <v>0.62519999999999998</v>
      </c>
      <c r="J43" s="866"/>
      <c r="K43" s="872"/>
      <c r="L43" s="866"/>
      <c r="M43" s="873"/>
      <c r="N43" s="866"/>
      <c r="O43" s="873"/>
      <c r="P43" s="866"/>
      <c r="Q43" s="873"/>
      <c r="R43" s="866"/>
      <c r="S43" s="884"/>
      <c r="T43" s="866"/>
      <c r="U43" s="884"/>
      <c r="V43" s="866"/>
      <c r="W43" s="884"/>
      <c r="X43" s="866"/>
      <c r="Y43" s="884"/>
      <c r="Z43" s="866"/>
      <c r="AA43" s="884"/>
      <c r="AB43" s="866"/>
      <c r="AC43" s="873"/>
      <c r="AD43" s="866"/>
      <c r="AE43" s="873"/>
      <c r="AF43" s="866"/>
      <c r="AG43" s="873"/>
    </row>
    <row r="44" spans="1:35" ht="45" x14ac:dyDescent="0.2">
      <c r="A44" s="487" t="s">
        <v>463</v>
      </c>
      <c r="B44" s="519" t="s">
        <v>141</v>
      </c>
      <c r="C44" s="519"/>
      <c r="D44" s="520" t="s">
        <v>142</v>
      </c>
      <c r="E44" s="521" t="s">
        <v>513</v>
      </c>
      <c r="F44" s="522">
        <f>'Mem. Calc.'!E39</f>
        <v>10813.88</v>
      </c>
      <c r="G44" s="490">
        <f t="shared" ref="G44:G45" si="62">H44/F44</f>
        <v>0.63</v>
      </c>
      <c r="H44" s="522">
        <v>6857.31</v>
      </c>
      <c r="I44" s="1390"/>
      <c r="J44" s="856"/>
      <c r="K44" s="857">
        <f t="shared" ref="K44:K45" si="63">F44*J44</f>
        <v>0</v>
      </c>
      <c r="L44" s="858"/>
      <c r="M44" s="859">
        <f t="shared" ref="M44:M45" si="64">F44*L44</f>
        <v>0</v>
      </c>
      <c r="N44" s="858"/>
      <c r="O44" s="859">
        <f t="shared" ref="O44:O45" si="65">N44*F44</f>
        <v>0</v>
      </c>
      <c r="P44" s="858">
        <v>0.3</v>
      </c>
      <c r="Q44" s="859">
        <f t="shared" ref="Q44:Q45" si="66">P44*F44</f>
        <v>3244.16</v>
      </c>
      <c r="R44" s="858">
        <v>0.2</v>
      </c>
      <c r="S44" s="882">
        <f t="shared" ref="S44:S45" si="67">R44*F44</f>
        <v>2163</v>
      </c>
      <c r="T44" s="866">
        <v>0.2</v>
      </c>
      <c r="U44" s="882">
        <f t="shared" ref="U44:U45" si="68">T44*F44</f>
        <v>2163</v>
      </c>
      <c r="V44" s="866">
        <v>0.2</v>
      </c>
      <c r="W44" s="882">
        <f t="shared" ref="W44:W45" si="69">V44*F44</f>
        <v>2163</v>
      </c>
      <c r="X44" s="866">
        <v>0.1</v>
      </c>
      <c r="Y44" s="882">
        <f t="shared" ref="Y44:Y45" si="70">X44*F44</f>
        <v>1081</v>
      </c>
      <c r="Z44" s="866"/>
      <c r="AA44" s="882">
        <f t="shared" ref="AA44:AA45" si="71">Z44*F44</f>
        <v>0</v>
      </c>
      <c r="AB44" s="866"/>
      <c r="AC44" s="859">
        <f t="shared" ref="AC44:AC45" si="72">AB44*F44</f>
        <v>0</v>
      </c>
      <c r="AD44" s="866"/>
      <c r="AE44" s="859">
        <f t="shared" ref="AE44:AE45" si="73">AD44*F44</f>
        <v>0</v>
      </c>
      <c r="AF44" s="866"/>
      <c r="AG44" s="859">
        <f t="shared" ref="AG44:AG45" si="74">AF44*F44</f>
        <v>0</v>
      </c>
      <c r="AH44" s="864">
        <f t="shared" ref="AH44:AH45" si="75">AF44+AD44+AB44+Z44+X44+V44+T44+R44+P44+N44+L44+J44</f>
        <v>1</v>
      </c>
      <c r="AI44" s="260">
        <f t="shared" ref="AI44:AI45" si="76">AG44+AE44+AC44+AA44+Y44+W44+U44+S44+Q44+O44+M44+K44</f>
        <v>10814.16</v>
      </c>
    </row>
    <row r="45" spans="1:35" ht="30" x14ac:dyDescent="0.2">
      <c r="A45" s="487" t="s">
        <v>464</v>
      </c>
      <c r="B45" s="492">
        <v>95296</v>
      </c>
      <c r="C45" s="492"/>
      <c r="D45" s="491" t="s">
        <v>511</v>
      </c>
      <c r="E45" s="811" t="s">
        <v>515</v>
      </c>
      <c r="F45" s="518">
        <f>'Mem. Calc.'!E40</f>
        <v>21627.77</v>
      </c>
      <c r="G45" s="490">
        <f t="shared" si="62"/>
        <v>1.29</v>
      </c>
      <c r="H45" s="518">
        <v>27878.11</v>
      </c>
      <c r="I45" s="1390"/>
      <c r="J45" s="856"/>
      <c r="K45" s="857">
        <f t="shared" si="63"/>
        <v>0</v>
      </c>
      <c r="L45" s="858"/>
      <c r="M45" s="859">
        <f t="shared" si="64"/>
        <v>0</v>
      </c>
      <c r="N45" s="858"/>
      <c r="O45" s="859">
        <f t="shared" si="65"/>
        <v>0</v>
      </c>
      <c r="P45" s="858">
        <f>P44</f>
        <v>0.3</v>
      </c>
      <c r="Q45" s="859">
        <f t="shared" si="66"/>
        <v>6488.33</v>
      </c>
      <c r="R45" s="858">
        <v>0.2</v>
      </c>
      <c r="S45" s="882">
        <f t="shared" si="67"/>
        <v>4326</v>
      </c>
      <c r="T45" s="866">
        <v>0.2</v>
      </c>
      <c r="U45" s="882">
        <f t="shared" si="68"/>
        <v>4326</v>
      </c>
      <c r="V45" s="866">
        <v>0.2</v>
      </c>
      <c r="W45" s="882">
        <f t="shared" si="69"/>
        <v>4326</v>
      </c>
      <c r="X45" s="866">
        <v>0.1</v>
      </c>
      <c r="Y45" s="882">
        <f t="shared" si="70"/>
        <v>2163</v>
      </c>
      <c r="Z45" s="866"/>
      <c r="AA45" s="882">
        <f t="shared" si="71"/>
        <v>0</v>
      </c>
      <c r="AB45" s="866"/>
      <c r="AC45" s="859">
        <f t="shared" si="72"/>
        <v>0</v>
      </c>
      <c r="AD45" s="866"/>
      <c r="AE45" s="859">
        <f t="shared" si="73"/>
        <v>0</v>
      </c>
      <c r="AF45" s="866"/>
      <c r="AG45" s="859">
        <f t="shared" si="74"/>
        <v>0</v>
      </c>
      <c r="AH45" s="864">
        <f t="shared" si="75"/>
        <v>1</v>
      </c>
      <c r="AI45" s="260">
        <f t="shared" si="76"/>
        <v>21629.33</v>
      </c>
    </row>
    <row r="46" spans="1:35" x14ac:dyDescent="0.2">
      <c r="A46" s="523"/>
      <c r="B46" s="524"/>
      <c r="C46" s="524"/>
      <c r="D46" s="525" t="s">
        <v>7</v>
      </c>
      <c r="E46" s="526"/>
      <c r="F46" s="527"/>
      <c r="G46" s="528"/>
      <c r="H46" s="527">
        <f>SUM(H44:H45)</f>
        <v>34735.42</v>
      </c>
      <c r="I46" s="1390"/>
      <c r="J46" s="858"/>
      <c r="K46" s="860"/>
      <c r="L46" s="858"/>
      <c r="M46" s="410"/>
      <c r="N46" s="858"/>
      <c r="O46" s="410"/>
      <c r="P46" s="858"/>
      <c r="Q46" s="410"/>
      <c r="R46" s="858"/>
      <c r="S46" s="882"/>
      <c r="T46" s="866"/>
      <c r="U46" s="882"/>
      <c r="V46" s="866"/>
      <c r="W46" s="882"/>
      <c r="X46" s="866"/>
      <c r="Y46" s="882"/>
      <c r="Z46" s="866"/>
      <c r="AA46" s="882"/>
      <c r="AB46" s="866"/>
      <c r="AC46" s="410"/>
      <c r="AD46" s="866"/>
      <c r="AE46" s="410"/>
      <c r="AF46" s="866"/>
      <c r="AG46" s="410"/>
    </row>
    <row r="47" spans="1:35" x14ac:dyDescent="0.2">
      <c r="A47" s="493" t="s">
        <v>164</v>
      </c>
      <c r="B47" s="494"/>
      <c r="C47" s="494"/>
      <c r="D47" s="516" t="s">
        <v>42</v>
      </c>
      <c r="E47" s="516"/>
      <c r="F47" s="516"/>
      <c r="G47" s="497"/>
      <c r="H47" s="517"/>
      <c r="I47" s="1390"/>
      <c r="J47" s="858"/>
      <c r="K47" s="860"/>
      <c r="L47" s="858"/>
      <c r="M47" s="410"/>
      <c r="N47" s="858"/>
      <c r="O47" s="410"/>
      <c r="P47" s="858"/>
      <c r="Q47" s="410"/>
      <c r="R47" s="858"/>
      <c r="S47" s="882"/>
      <c r="T47" s="858"/>
      <c r="U47" s="882"/>
      <c r="V47" s="858"/>
      <c r="W47" s="882"/>
      <c r="X47" s="858"/>
      <c r="Y47" s="882"/>
      <c r="Z47" s="858"/>
      <c r="AA47" s="882"/>
      <c r="AB47" s="858"/>
      <c r="AC47" s="410"/>
      <c r="AD47" s="858"/>
      <c r="AE47" s="410"/>
      <c r="AF47" s="858"/>
      <c r="AG47" s="410"/>
    </row>
    <row r="48" spans="1:35" ht="30" x14ac:dyDescent="0.2">
      <c r="A48" s="487" t="s">
        <v>465</v>
      </c>
      <c r="B48" s="492">
        <v>72961</v>
      </c>
      <c r="C48" s="492"/>
      <c r="D48" s="491" t="s">
        <v>104</v>
      </c>
      <c r="E48" s="843" t="s">
        <v>6</v>
      </c>
      <c r="F48" s="518">
        <f>'Mem. Calc.'!E42</f>
        <v>35544.5</v>
      </c>
      <c r="G48" s="490">
        <f t="shared" ref="G48:G60" si="77">H48/F48</f>
        <v>0.53</v>
      </c>
      <c r="H48" s="518">
        <v>18749.36</v>
      </c>
      <c r="I48" s="1390"/>
      <c r="J48" s="856"/>
      <c r="K48" s="857">
        <f t="shared" ref="K48:K60" si="78">F48*J48</f>
        <v>0</v>
      </c>
      <c r="L48" s="858"/>
      <c r="M48" s="859">
        <f t="shared" ref="M48:M60" si="79">F48*L48</f>
        <v>0</v>
      </c>
      <c r="N48" s="858"/>
      <c r="O48" s="859">
        <f t="shared" ref="O48:O60" si="80">N48*F48</f>
        <v>0</v>
      </c>
      <c r="P48" s="858"/>
      <c r="Q48" s="859">
        <f t="shared" ref="Q48:Q60" si="81">P48*F48</f>
        <v>0</v>
      </c>
      <c r="R48" s="858">
        <v>0.3</v>
      </c>
      <c r="S48" s="882">
        <f t="shared" ref="S48:S60" si="82">R48*F48</f>
        <v>10663</v>
      </c>
      <c r="T48" s="866">
        <v>0.2</v>
      </c>
      <c r="U48" s="882">
        <f t="shared" ref="U48:U60" si="83">T48*F48</f>
        <v>7109</v>
      </c>
      <c r="V48" s="866">
        <v>0.2</v>
      </c>
      <c r="W48" s="882">
        <f t="shared" ref="W48:W60" si="84">V48*F48</f>
        <v>7109</v>
      </c>
      <c r="X48" s="866">
        <v>0.2</v>
      </c>
      <c r="Y48" s="882">
        <f t="shared" ref="Y48:Y60" si="85">X48*F48</f>
        <v>7109</v>
      </c>
      <c r="Z48" s="866">
        <v>0.1</v>
      </c>
      <c r="AA48" s="882">
        <f t="shared" ref="AA48:AA60" si="86">Z48*F48</f>
        <v>3554</v>
      </c>
      <c r="AB48" s="866"/>
      <c r="AC48" s="859">
        <f t="shared" ref="AC48:AC60" si="87">AB48*F48</f>
        <v>0</v>
      </c>
      <c r="AD48" s="866"/>
      <c r="AE48" s="859">
        <f t="shared" ref="AE48:AE60" si="88">AD48*F48</f>
        <v>0</v>
      </c>
      <c r="AF48" s="866"/>
      <c r="AG48" s="859">
        <f t="shared" ref="AG48:AG60" si="89">AF48*F48</f>
        <v>0</v>
      </c>
      <c r="AH48" s="864">
        <f t="shared" ref="AH48:AH60" si="90">AF48+AD48+AB48+Z48+X48+V48+T48+R48+P48+N48+L48+J48</f>
        <v>1</v>
      </c>
      <c r="AI48" s="260">
        <f t="shared" ref="AI48:AI60" si="91">AG48+AE48+AC48+AA48+Y48+W48+U48+S48+Q48+O48+M48+K48</f>
        <v>35544</v>
      </c>
    </row>
    <row r="49" spans="1:35" ht="45" x14ac:dyDescent="0.2">
      <c r="A49" s="487" t="s">
        <v>466</v>
      </c>
      <c r="B49" s="492" t="s">
        <v>516</v>
      </c>
      <c r="C49" s="492"/>
      <c r="D49" s="491" t="s">
        <v>517</v>
      </c>
      <c r="E49" s="843" t="s">
        <v>31</v>
      </c>
      <c r="F49" s="518" t="e">
        <f>'Mem. Calc.'!#REF!</f>
        <v>#REF!</v>
      </c>
      <c r="G49" s="490" t="e">
        <f t="shared" si="77"/>
        <v>#REF!</v>
      </c>
      <c r="H49" s="518">
        <v>12940.8</v>
      </c>
      <c r="I49" s="1390"/>
      <c r="J49" s="856"/>
      <c r="K49" s="857" t="e">
        <f t="shared" si="78"/>
        <v>#REF!</v>
      </c>
      <c r="L49" s="858"/>
      <c r="M49" s="859" t="e">
        <f t="shared" si="79"/>
        <v>#REF!</v>
      </c>
      <c r="N49" s="858"/>
      <c r="O49" s="859" t="e">
        <f t="shared" si="80"/>
        <v>#REF!</v>
      </c>
      <c r="P49" s="858"/>
      <c r="Q49" s="859" t="e">
        <f t="shared" si="81"/>
        <v>#REF!</v>
      </c>
      <c r="R49" s="858">
        <f>R48</f>
        <v>0.3</v>
      </c>
      <c r="S49" s="882" t="e">
        <f t="shared" si="82"/>
        <v>#REF!</v>
      </c>
      <c r="T49" s="866">
        <f>T48</f>
        <v>0.2</v>
      </c>
      <c r="U49" s="882" t="e">
        <f t="shared" si="83"/>
        <v>#REF!</v>
      </c>
      <c r="V49" s="866">
        <f>V48</f>
        <v>0.2</v>
      </c>
      <c r="W49" s="882" t="e">
        <f t="shared" si="84"/>
        <v>#REF!</v>
      </c>
      <c r="X49" s="866">
        <f>X48</f>
        <v>0.2</v>
      </c>
      <c r="Y49" s="882" t="e">
        <f t="shared" si="85"/>
        <v>#REF!</v>
      </c>
      <c r="Z49" s="866">
        <f>Z48</f>
        <v>0.1</v>
      </c>
      <c r="AA49" s="882" t="e">
        <f t="shared" si="86"/>
        <v>#REF!</v>
      </c>
      <c r="AB49" s="866"/>
      <c r="AC49" s="859" t="e">
        <f t="shared" si="87"/>
        <v>#REF!</v>
      </c>
      <c r="AD49" s="866"/>
      <c r="AE49" s="859" t="e">
        <f t="shared" si="88"/>
        <v>#REF!</v>
      </c>
      <c r="AF49" s="866"/>
      <c r="AG49" s="859" t="e">
        <f t="shared" si="89"/>
        <v>#REF!</v>
      </c>
      <c r="AH49" s="864">
        <f t="shared" si="90"/>
        <v>1</v>
      </c>
      <c r="AI49" s="260" t="e">
        <f t="shared" si="91"/>
        <v>#REF!</v>
      </c>
    </row>
    <row r="50" spans="1:35" ht="30" x14ac:dyDescent="0.2">
      <c r="A50" s="487" t="s">
        <v>467</v>
      </c>
      <c r="B50" s="492">
        <v>95296</v>
      </c>
      <c r="C50" s="507"/>
      <c r="D50" s="520" t="s">
        <v>518</v>
      </c>
      <c r="E50" s="811" t="s">
        <v>515</v>
      </c>
      <c r="F50" s="518">
        <v>29708</v>
      </c>
      <c r="G50" s="490">
        <f t="shared" si="77"/>
        <v>1.97</v>
      </c>
      <c r="H50" s="518">
        <v>58527.73</v>
      </c>
      <c r="I50" s="1390"/>
      <c r="J50" s="856"/>
      <c r="K50" s="857">
        <f t="shared" si="78"/>
        <v>0</v>
      </c>
      <c r="L50" s="858"/>
      <c r="M50" s="859">
        <f t="shared" si="79"/>
        <v>0</v>
      </c>
      <c r="N50" s="858"/>
      <c r="O50" s="859">
        <f t="shared" si="80"/>
        <v>0</v>
      </c>
      <c r="P50" s="858"/>
      <c r="Q50" s="859">
        <f t="shared" si="81"/>
        <v>0</v>
      </c>
      <c r="R50" s="858">
        <f t="shared" ref="R50:R60" si="92">R49</f>
        <v>0.3</v>
      </c>
      <c r="S50" s="882">
        <f t="shared" si="82"/>
        <v>8912</v>
      </c>
      <c r="T50" s="866">
        <f t="shared" ref="T50:T60" si="93">T49</f>
        <v>0.2</v>
      </c>
      <c r="U50" s="882">
        <f t="shared" si="83"/>
        <v>5942</v>
      </c>
      <c r="V50" s="866">
        <f t="shared" ref="V50:V60" si="94">V49</f>
        <v>0.2</v>
      </c>
      <c r="W50" s="882">
        <f t="shared" si="84"/>
        <v>5942</v>
      </c>
      <c r="X50" s="866">
        <f t="shared" ref="X50:X60" si="95">X49</f>
        <v>0.2</v>
      </c>
      <c r="Y50" s="882">
        <f t="shared" si="85"/>
        <v>5942</v>
      </c>
      <c r="Z50" s="866">
        <f t="shared" ref="Z50:Z60" si="96">Z49</f>
        <v>0.1</v>
      </c>
      <c r="AA50" s="882">
        <f t="shared" si="86"/>
        <v>2971</v>
      </c>
      <c r="AB50" s="866"/>
      <c r="AC50" s="859">
        <f t="shared" si="87"/>
        <v>0</v>
      </c>
      <c r="AD50" s="866"/>
      <c r="AE50" s="859">
        <f t="shared" si="88"/>
        <v>0</v>
      </c>
      <c r="AF50" s="866"/>
      <c r="AG50" s="859">
        <f t="shared" si="89"/>
        <v>0</v>
      </c>
      <c r="AH50" s="864">
        <f t="shared" si="90"/>
        <v>1</v>
      </c>
      <c r="AI50" s="260">
        <f t="shared" si="91"/>
        <v>29709</v>
      </c>
    </row>
    <row r="51" spans="1:35" ht="59.25" x14ac:dyDescent="0.2">
      <c r="A51" s="487" t="s">
        <v>468</v>
      </c>
      <c r="B51" s="507">
        <v>72911</v>
      </c>
      <c r="C51" s="507"/>
      <c r="D51" s="520" t="s">
        <v>559</v>
      </c>
      <c r="E51" s="843" t="s">
        <v>31</v>
      </c>
      <c r="F51" s="522">
        <f>'Mem. Calc.'!E45</f>
        <v>5331.68</v>
      </c>
      <c r="G51" s="490">
        <f t="shared" si="77"/>
        <v>2.67</v>
      </c>
      <c r="H51" s="522">
        <v>14245.91</v>
      </c>
      <c r="I51" s="1390"/>
      <c r="J51" s="856"/>
      <c r="K51" s="857">
        <f t="shared" si="78"/>
        <v>0</v>
      </c>
      <c r="L51" s="858"/>
      <c r="M51" s="859">
        <f t="shared" si="79"/>
        <v>0</v>
      </c>
      <c r="N51" s="858"/>
      <c r="O51" s="859">
        <f t="shared" si="80"/>
        <v>0</v>
      </c>
      <c r="P51" s="858"/>
      <c r="Q51" s="859">
        <f t="shared" si="81"/>
        <v>0</v>
      </c>
      <c r="R51" s="858">
        <f t="shared" si="92"/>
        <v>0.3</v>
      </c>
      <c r="S51" s="882">
        <f t="shared" si="82"/>
        <v>1600</v>
      </c>
      <c r="T51" s="866">
        <f t="shared" si="93"/>
        <v>0.2</v>
      </c>
      <c r="U51" s="882">
        <f t="shared" si="83"/>
        <v>1066</v>
      </c>
      <c r="V51" s="866">
        <f t="shared" si="94"/>
        <v>0.2</v>
      </c>
      <c r="W51" s="882">
        <f t="shared" si="84"/>
        <v>1066</v>
      </c>
      <c r="X51" s="866">
        <f t="shared" si="95"/>
        <v>0.2</v>
      </c>
      <c r="Y51" s="882">
        <f t="shared" si="85"/>
        <v>1066</v>
      </c>
      <c r="Z51" s="866">
        <f t="shared" si="96"/>
        <v>0.1</v>
      </c>
      <c r="AA51" s="882">
        <f t="shared" si="86"/>
        <v>533</v>
      </c>
      <c r="AB51" s="866"/>
      <c r="AC51" s="859">
        <f t="shared" si="87"/>
        <v>0</v>
      </c>
      <c r="AD51" s="866"/>
      <c r="AE51" s="859">
        <f t="shared" si="88"/>
        <v>0</v>
      </c>
      <c r="AF51" s="866"/>
      <c r="AG51" s="859">
        <f t="shared" si="89"/>
        <v>0</v>
      </c>
      <c r="AH51" s="864">
        <f t="shared" si="90"/>
        <v>1</v>
      </c>
      <c r="AI51" s="260">
        <f t="shared" si="91"/>
        <v>5331</v>
      </c>
    </row>
    <row r="52" spans="1:35" ht="45" x14ac:dyDescent="0.2">
      <c r="A52" s="487" t="s">
        <v>469</v>
      </c>
      <c r="B52" s="507">
        <v>72911</v>
      </c>
      <c r="C52" s="507"/>
      <c r="D52" s="520" t="s">
        <v>560</v>
      </c>
      <c r="E52" s="843" t="s">
        <v>31</v>
      </c>
      <c r="F52" s="522">
        <f>'Mem. Calc.'!E46</f>
        <v>5331.68</v>
      </c>
      <c r="G52" s="490">
        <f t="shared" si="77"/>
        <v>2.67</v>
      </c>
      <c r="H52" s="522">
        <v>14245.91</v>
      </c>
      <c r="I52" s="1390"/>
      <c r="J52" s="856"/>
      <c r="K52" s="857">
        <f t="shared" si="78"/>
        <v>0</v>
      </c>
      <c r="L52" s="858"/>
      <c r="M52" s="859">
        <f t="shared" si="79"/>
        <v>0</v>
      </c>
      <c r="N52" s="858"/>
      <c r="O52" s="859">
        <f t="shared" si="80"/>
        <v>0</v>
      </c>
      <c r="P52" s="858"/>
      <c r="Q52" s="859">
        <f t="shared" si="81"/>
        <v>0</v>
      </c>
      <c r="R52" s="858">
        <f t="shared" si="92"/>
        <v>0.3</v>
      </c>
      <c r="S52" s="882">
        <f t="shared" si="82"/>
        <v>1600</v>
      </c>
      <c r="T52" s="866">
        <f t="shared" si="93"/>
        <v>0.2</v>
      </c>
      <c r="U52" s="882">
        <f t="shared" si="83"/>
        <v>1066</v>
      </c>
      <c r="V52" s="866">
        <f t="shared" si="94"/>
        <v>0.2</v>
      </c>
      <c r="W52" s="882">
        <f t="shared" si="84"/>
        <v>1066</v>
      </c>
      <c r="X52" s="866">
        <f t="shared" si="95"/>
        <v>0.2</v>
      </c>
      <c r="Y52" s="882">
        <f t="shared" si="85"/>
        <v>1066</v>
      </c>
      <c r="Z52" s="866">
        <f t="shared" si="96"/>
        <v>0.1</v>
      </c>
      <c r="AA52" s="882">
        <f t="shared" si="86"/>
        <v>533</v>
      </c>
      <c r="AB52" s="866"/>
      <c r="AC52" s="859">
        <f t="shared" si="87"/>
        <v>0</v>
      </c>
      <c r="AD52" s="866"/>
      <c r="AE52" s="859">
        <f t="shared" si="88"/>
        <v>0</v>
      </c>
      <c r="AF52" s="866"/>
      <c r="AG52" s="859">
        <f t="shared" si="89"/>
        <v>0</v>
      </c>
      <c r="AH52" s="864">
        <f t="shared" si="90"/>
        <v>1</v>
      </c>
      <c r="AI52" s="260">
        <f t="shared" si="91"/>
        <v>5331</v>
      </c>
    </row>
    <row r="53" spans="1:35" x14ac:dyDescent="0.2">
      <c r="A53" s="487" t="s">
        <v>470</v>
      </c>
      <c r="B53" s="507" t="s">
        <v>558</v>
      </c>
      <c r="C53" s="507"/>
      <c r="D53" s="520" t="s">
        <v>230</v>
      </c>
      <c r="E53" s="843"/>
      <c r="F53" s="522">
        <v>3713.5</v>
      </c>
      <c r="G53" s="490">
        <f t="shared" si="77"/>
        <v>1.43</v>
      </c>
      <c r="H53" s="522">
        <v>5293.97</v>
      </c>
      <c r="I53" s="1390"/>
      <c r="J53" s="856"/>
      <c r="K53" s="857">
        <f t="shared" si="78"/>
        <v>0</v>
      </c>
      <c r="L53" s="858"/>
      <c r="M53" s="859">
        <f t="shared" si="79"/>
        <v>0</v>
      </c>
      <c r="N53" s="858"/>
      <c r="O53" s="859">
        <f t="shared" si="80"/>
        <v>0</v>
      </c>
      <c r="P53" s="858"/>
      <c r="Q53" s="859">
        <f t="shared" si="81"/>
        <v>0</v>
      </c>
      <c r="R53" s="858">
        <f t="shared" si="92"/>
        <v>0.3</v>
      </c>
      <c r="S53" s="882">
        <f t="shared" si="82"/>
        <v>1114</v>
      </c>
      <c r="T53" s="866">
        <f t="shared" si="93"/>
        <v>0.2</v>
      </c>
      <c r="U53" s="882">
        <f t="shared" si="83"/>
        <v>743</v>
      </c>
      <c r="V53" s="866">
        <f t="shared" si="94"/>
        <v>0.2</v>
      </c>
      <c r="W53" s="882">
        <f t="shared" si="84"/>
        <v>743</v>
      </c>
      <c r="X53" s="866">
        <f t="shared" si="95"/>
        <v>0.2</v>
      </c>
      <c r="Y53" s="882">
        <f t="shared" si="85"/>
        <v>743</v>
      </c>
      <c r="Z53" s="866">
        <f t="shared" si="96"/>
        <v>0.1</v>
      </c>
      <c r="AA53" s="882">
        <f t="shared" si="86"/>
        <v>371</v>
      </c>
      <c r="AB53" s="866"/>
      <c r="AC53" s="859">
        <f t="shared" si="87"/>
        <v>0</v>
      </c>
      <c r="AD53" s="866"/>
      <c r="AE53" s="859">
        <f t="shared" si="88"/>
        <v>0</v>
      </c>
      <c r="AF53" s="866"/>
      <c r="AG53" s="859">
        <f t="shared" si="89"/>
        <v>0</v>
      </c>
      <c r="AH53" s="864">
        <f t="shared" si="90"/>
        <v>1</v>
      </c>
      <c r="AI53" s="260">
        <f t="shared" si="91"/>
        <v>3714</v>
      </c>
    </row>
    <row r="54" spans="1:35" ht="30" x14ac:dyDescent="0.2">
      <c r="A54" s="487" t="s">
        <v>471</v>
      </c>
      <c r="B54" s="507" t="s">
        <v>232</v>
      </c>
      <c r="C54" s="507"/>
      <c r="D54" s="520" t="s">
        <v>231</v>
      </c>
      <c r="E54" s="843"/>
      <c r="F54" s="522">
        <v>10</v>
      </c>
      <c r="G54" s="490">
        <f t="shared" si="77"/>
        <v>149.33000000000001</v>
      </c>
      <c r="H54" s="522">
        <v>1493.32</v>
      </c>
      <c r="I54" s="1390"/>
      <c r="J54" s="856"/>
      <c r="K54" s="857">
        <f t="shared" si="78"/>
        <v>0</v>
      </c>
      <c r="L54" s="858"/>
      <c r="M54" s="859">
        <f t="shared" si="79"/>
        <v>0</v>
      </c>
      <c r="N54" s="858"/>
      <c r="O54" s="859">
        <f t="shared" si="80"/>
        <v>0</v>
      </c>
      <c r="P54" s="858"/>
      <c r="Q54" s="859">
        <f t="shared" si="81"/>
        <v>0</v>
      </c>
      <c r="R54" s="858">
        <f t="shared" si="92"/>
        <v>0.3</v>
      </c>
      <c r="S54" s="882">
        <f t="shared" si="82"/>
        <v>3</v>
      </c>
      <c r="T54" s="866">
        <f t="shared" si="93"/>
        <v>0.2</v>
      </c>
      <c r="U54" s="882">
        <f t="shared" si="83"/>
        <v>2</v>
      </c>
      <c r="V54" s="866">
        <f t="shared" si="94"/>
        <v>0.2</v>
      </c>
      <c r="W54" s="882">
        <f t="shared" si="84"/>
        <v>2</v>
      </c>
      <c r="X54" s="866">
        <f t="shared" si="95"/>
        <v>0.2</v>
      </c>
      <c r="Y54" s="882">
        <f t="shared" si="85"/>
        <v>2</v>
      </c>
      <c r="Z54" s="866">
        <f t="shared" si="96"/>
        <v>0.1</v>
      </c>
      <c r="AA54" s="882">
        <f t="shared" si="86"/>
        <v>1</v>
      </c>
      <c r="AB54" s="866"/>
      <c r="AC54" s="859">
        <f t="shared" si="87"/>
        <v>0</v>
      </c>
      <c r="AD54" s="866"/>
      <c r="AE54" s="859">
        <f t="shared" si="88"/>
        <v>0</v>
      </c>
      <c r="AF54" s="866"/>
      <c r="AG54" s="859">
        <f t="shared" si="89"/>
        <v>0</v>
      </c>
      <c r="AH54" s="864">
        <f t="shared" si="90"/>
        <v>1</v>
      </c>
      <c r="AI54" s="260">
        <f t="shared" si="91"/>
        <v>10</v>
      </c>
    </row>
    <row r="55" spans="1:35" x14ac:dyDescent="0.2">
      <c r="A55" s="487" t="s">
        <v>472</v>
      </c>
      <c r="B55" s="507" t="s">
        <v>235</v>
      </c>
      <c r="C55" s="507"/>
      <c r="D55" s="520" t="s">
        <v>234</v>
      </c>
      <c r="E55" s="843"/>
      <c r="F55" s="522">
        <v>10</v>
      </c>
      <c r="G55" s="490">
        <f t="shared" si="77"/>
        <v>115.39</v>
      </c>
      <c r="H55" s="522">
        <v>1153.8499999999999</v>
      </c>
      <c r="I55" s="1390"/>
      <c r="J55" s="856"/>
      <c r="K55" s="857">
        <f t="shared" si="78"/>
        <v>0</v>
      </c>
      <c r="L55" s="858"/>
      <c r="M55" s="859">
        <f t="shared" si="79"/>
        <v>0</v>
      </c>
      <c r="N55" s="858"/>
      <c r="O55" s="859">
        <f t="shared" si="80"/>
        <v>0</v>
      </c>
      <c r="P55" s="858"/>
      <c r="Q55" s="859">
        <f t="shared" si="81"/>
        <v>0</v>
      </c>
      <c r="R55" s="858">
        <f t="shared" si="92"/>
        <v>0.3</v>
      </c>
      <c r="S55" s="882">
        <f t="shared" si="82"/>
        <v>3</v>
      </c>
      <c r="T55" s="866">
        <f t="shared" si="93"/>
        <v>0.2</v>
      </c>
      <c r="U55" s="882">
        <f t="shared" si="83"/>
        <v>2</v>
      </c>
      <c r="V55" s="866">
        <f t="shared" si="94"/>
        <v>0.2</v>
      </c>
      <c r="W55" s="882">
        <f t="shared" si="84"/>
        <v>2</v>
      </c>
      <c r="X55" s="866">
        <f t="shared" si="95"/>
        <v>0.2</v>
      </c>
      <c r="Y55" s="882">
        <f t="shared" si="85"/>
        <v>2</v>
      </c>
      <c r="Z55" s="866">
        <f t="shared" si="96"/>
        <v>0.1</v>
      </c>
      <c r="AA55" s="882">
        <f t="shared" si="86"/>
        <v>1</v>
      </c>
      <c r="AB55" s="866"/>
      <c r="AC55" s="859">
        <f t="shared" si="87"/>
        <v>0</v>
      </c>
      <c r="AD55" s="866"/>
      <c r="AE55" s="859">
        <f t="shared" si="88"/>
        <v>0</v>
      </c>
      <c r="AF55" s="866"/>
      <c r="AG55" s="859">
        <f t="shared" si="89"/>
        <v>0</v>
      </c>
      <c r="AH55" s="864">
        <f t="shared" si="90"/>
        <v>1</v>
      </c>
      <c r="AI55" s="260">
        <f t="shared" si="91"/>
        <v>10</v>
      </c>
    </row>
    <row r="56" spans="1:35" ht="15" customHeight="1" x14ac:dyDescent="0.2">
      <c r="A56" s="487" t="s">
        <v>473</v>
      </c>
      <c r="B56" s="1392" t="e">
        <f>COMPOSIÇÕES!#REF!</f>
        <v>#REF!</v>
      </c>
      <c r="C56" s="1393"/>
      <c r="D56" s="520" t="e">
        <f>COMPOSIÇÕES!#REF!</f>
        <v>#REF!</v>
      </c>
      <c r="E56" s="519" t="e">
        <f>COMPOSIÇÕES!#REF!</f>
        <v>#REF!</v>
      </c>
      <c r="F56" s="522">
        <f>'Mem. Calc.'!E47</f>
        <v>31131.72</v>
      </c>
      <c r="G56" s="490">
        <f t="shared" si="77"/>
        <v>2.15</v>
      </c>
      <c r="H56" s="522">
        <v>67045.8</v>
      </c>
      <c r="I56" s="1390"/>
      <c r="J56" s="856"/>
      <c r="K56" s="857">
        <f t="shared" si="78"/>
        <v>0</v>
      </c>
      <c r="L56" s="858"/>
      <c r="M56" s="859">
        <f t="shared" si="79"/>
        <v>0</v>
      </c>
      <c r="N56" s="858"/>
      <c r="O56" s="859">
        <f t="shared" si="80"/>
        <v>0</v>
      </c>
      <c r="P56" s="858"/>
      <c r="Q56" s="859">
        <f t="shared" si="81"/>
        <v>0</v>
      </c>
      <c r="R56" s="858">
        <f t="shared" si="92"/>
        <v>0.3</v>
      </c>
      <c r="S56" s="882">
        <f t="shared" si="82"/>
        <v>9340</v>
      </c>
      <c r="T56" s="866">
        <f t="shared" si="93"/>
        <v>0.2</v>
      </c>
      <c r="U56" s="882">
        <f t="shared" si="83"/>
        <v>6226</v>
      </c>
      <c r="V56" s="866">
        <f t="shared" si="94"/>
        <v>0.2</v>
      </c>
      <c r="W56" s="882">
        <f t="shared" si="84"/>
        <v>6226</v>
      </c>
      <c r="X56" s="866">
        <f t="shared" si="95"/>
        <v>0.2</v>
      </c>
      <c r="Y56" s="882">
        <f t="shared" si="85"/>
        <v>6226</v>
      </c>
      <c r="Z56" s="866">
        <f t="shared" si="96"/>
        <v>0.1</v>
      </c>
      <c r="AA56" s="882">
        <f t="shared" si="86"/>
        <v>3113</v>
      </c>
      <c r="AB56" s="866"/>
      <c r="AC56" s="859">
        <f t="shared" si="87"/>
        <v>0</v>
      </c>
      <c r="AD56" s="866"/>
      <c r="AE56" s="859">
        <f t="shared" si="88"/>
        <v>0</v>
      </c>
      <c r="AF56" s="866"/>
      <c r="AG56" s="859">
        <f t="shared" si="89"/>
        <v>0</v>
      </c>
      <c r="AH56" s="864">
        <f t="shared" si="90"/>
        <v>1</v>
      </c>
      <c r="AI56" s="260">
        <f t="shared" si="91"/>
        <v>31131</v>
      </c>
    </row>
    <row r="57" spans="1:35" x14ac:dyDescent="0.2">
      <c r="A57" s="487" t="s">
        <v>474</v>
      </c>
      <c r="B57" s="1392" t="e">
        <f>COMPOSIÇÕES!#REF!</f>
        <v>#REF!</v>
      </c>
      <c r="C57" s="1393"/>
      <c r="D57" s="520" t="e">
        <f>COMPOSIÇÕES!#REF!</f>
        <v>#REF!</v>
      </c>
      <c r="E57" s="519" t="e">
        <f>COMPOSIÇÕES!#REF!</f>
        <v>#REF!</v>
      </c>
      <c r="F57" s="522" t="e">
        <f>'Mem. Calc.'!#REF!</f>
        <v>#REF!</v>
      </c>
      <c r="G57" s="490" t="e">
        <f t="shared" si="77"/>
        <v>#REF!</v>
      </c>
      <c r="H57" s="522">
        <v>88212.33</v>
      </c>
      <c r="I57" s="1390"/>
      <c r="J57" s="856"/>
      <c r="K57" s="857" t="e">
        <f t="shared" si="78"/>
        <v>#REF!</v>
      </c>
      <c r="L57" s="858"/>
      <c r="M57" s="859" t="e">
        <f t="shared" si="79"/>
        <v>#REF!</v>
      </c>
      <c r="N57" s="858"/>
      <c r="O57" s="859" t="e">
        <f t="shared" si="80"/>
        <v>#REF!</v>
      </c>
      <c r="P57" s="858"/>
      <c r="Q57" s="859" t="e">
        <f t="shared" si="81"/>
        <v>#REF!</v>
      </c>
      <c r="R57" s="858">
        <f t="shared" si="92"/>
        <v>0.3</v>
      </c>
      <c r="S57" s="882" t="e">
        <f t="shared" si="82"/>
        <v>#REF!</v>
      </c>
      <c r="T57" s="866">
        <f t="shared" si="93"/>
        <v>0.2</v>
      </c>
      <c r="U57" s="882" t="e">
        <f t="shared" si="83"/>
        <v>#REF!</v>
      </c>
      <c r="V57" s="866">
        <f t="shared" si="94"/>
        <v>0.2</v>
      </c>
      <c r="W57" s="882" t="e">
        <f t="shared" si="84"/>
        <v>#REF!</v>
      </c>
      <c r="X57" s="866">
        <f t="shared" si="95"/>
        <v>0.2</v>
      </c>
      <c r="Y57" s="882" t="e">
        <f t="shared" si="85"/>
        <v>#REF!</v>
      </c>
      <c r="Z57" s="866">
        <f t="shared" si="96"/>
        <v>0.1</v>
      </c>
      <c r="AA57" s="882" t="e">
        <f t="shared" si="86"/>
        <v>#REF!</v>
      </c>
      <c r="AB57" s="866"/>
      <c r="AC57" s="859" t="e">
        <f t="shared" si="87"/>
        <v>#REF!</v>
      </c>
      <c r="AD57" s="866"/>
      <c r="AE57" s="859" t="e">
        <f t="shared" si="88"/>
        <v>#REF!</v>
      </c>
      <c r="AF57" s="866"/>
      <c r="AG57" s="859" t="e">
        <f t="shared" si="89"/>
        <v>#REF!</v>
      </c>
      <c r="AH57" s="864">
        <f t="shared" si="90"/>
        <v>1</v>
      </c>
      <c r="AI57" s="260" t="e">
        <f t="shared" si="91"/>
        <v>#REF!</v>
      </c>
    </row>
    <row r="58" spans="1:35" x14ac:dyDescent="0.2">
      <c r="A58" s="487" t="s">
        <v>561</v>
      </c>
      <c r="B58" s="1392" t="e">
        <f>COMPOSIÇÕES!#REF!</f>
        <v>#REF!</v>
      </c>
      <c r="C58" s="1393"/>
      <c r="D58" s="520" t="e">
        <f>COMPOSIÇÕES!#REF!</f>
        <v>#REF!</v>
      </c>
      <c r="E58" s="519" t="e">
        <f>COMPOSIÇÕES!#REF!</f>
        <v>#REF!</v>
      </c>
      <c r="F58" s="522">
        <f>'Mem. Calc.'!E48</f>
        <v>933.95</v>
      </c>
      <c r="G58" s="490">
        <f t="shared" si="77"/>
        <v>48.29</v>
      </c>
      <c r="H58" s="522">
        <v>45103.54</v>
      </c>
      <c r="I58" s="1390"/>
      <c r="J58" s="856"/>
      <c r="K58" s="857">
        <f t="shared" si="78"/>
        <v>0</v>
      </c>
      <c r="L58" s="858"/>
      <c r="M58" s="859">
        <f t="shared" si="79"/>
        <v>0</v>
      </c>
      <c r="N58" s="858"/>
      <c r="O58" s="859">
        <f t="shared" si="80"/>
        <v>0</v>
      </c>
      <c r="P58" s="858"/>
      <c r="Q58" s="859">
        <f t="shared" si="81"/>
        <v>0</v>
      </c>
      <c r="R58" s="858">
        <f t="shared" si="92"/>
        <v>0.3</v>
      </c>
      <c r="S58" s="882">
        <f t="shared" si="82"/>
        <v>280</v>
      </c>
      <c r="T58" s="866">
        <f t="shared" si="93"/>
        <v>0.2</v>
      </c>
      <c r="U58" s="882">
        <f t="shared" si="83"/>
        <v>187</v>
      </c>
      <c r="V58" s="866">
        <f t="shared" si="94"/>
        <v>0.2</v>
      </c>
      <c r="W58" s="882">
        <f t="shared" si="84"/>
        <v>187</v>
      </c>
      <c r="X58" s="866">
        <f t="shared" si="95"/>
        <v>0.2</v>
      </c>
      <c r="Y58" s="882">
        <f t="shared" si="85"/>
        <v>187</v>
      </c>
      <c r="Z58" s="866">
        <f t="shared" si="96"/>
        <v>0.1</v>
      </c>
      <c r="AA58" s="882">
        <f t="shared" si="86"/>
        <v>93</v>
      </c>
      <c r="AB58" s="866"/>
      <c r="AC58" s="859">
        <f t="shared" si="87"/>
        <v>0</v>
      </c>
      <c r="AD58" s="866"/>
      <c r="AE58" s="859">
        <f t="shared" si="88"/>
        <v>0</v>
      </c>
      <c r="AF58" s="866"/>
      <c r="AG58" s="859">
        <f t="shared" si="89"/>
        <v>0</v>
      </c>
      <c r="AH58" s="864">
        <f t="shared" si="90"/>
        <v>1</v>
      </c>
      <c r="AI58" s="260">
        <f t="shared" si="91"/>
        <v>934</v>
      </c>
    </row>
    <row r="59" spans="1:35" ht="60" x14ac:dyDescent="0.2">
      <c r="A59" s="487" t="s">
        <v>562</v>
      </c>
      <c r="B59" s="507">
        <v>93176</v>
      </c>
      <c r="C59" s="507"/>
      <c r="D59" s="520" t="s">
        <v>410</v>
      </c>
      <c r="E59" s="521" t="s">
        <v>241</v>
      </c>
      <c r="F59" s="522">
        <f>'Mem. Calc.'!E49</f>
        <v>31131.72</v>
      </c>
      <c r="G59" s="490">
        <f t="shared" si="77"/>
        <v>0.28999999999999998</v>
      </c>
      <c r="H59" s="522">
        <v>9054.81</v>
      </c>
      <c r="I59" s="1390"/>
      <c r="J59" s="856"/>
      <c r="K59" s="857">
        <f t="shared" si="78"/>
        <v>0</v>
      </c>
      <c r="L59" s="858"/>
      <c r="M59" s="859">
        <f t="shared" si="79"/>
        <v>0</v>
      </c>
      <c r="N59" s="858"/>
      <c r="O59" s="859">
        <f t="shared" si="80"/>
        <v>0</v>
      </c>
      <c r="P59" s="858"/>
      <c r="Q59" s="859">
        <f t="shared" si="81"/>
        <v>0</v>
      </c>
      <c r="R59" s="858">
        <f t="shared" si="92"/>
        <v>0.3</v>
      </c>
      <c r="S59" s="882">
        <f t="shared" si="82"/>
        <v>9340</v>
      </c>
      <c r="T59" s="866">
        <f t="shared" si="93"/>
        <v>0.2</v>
      </c>
      <c r="U59" s="882">
        <f t="shared" si="83"/>
        <v>6226</v>
      </c>
      <c r="V59" s="866">
        <f t="shared" si="94"/>
        <v>0.2</v>
      </c>
      <c r="W59" s="882">
        <f t="shared" si="84"/>
        <v>6226</v>
      </c>
      <c r="X59" s="866">
        <f t="shared" si="95"/>
        <v>0.2</v>
      </c>
      <c r="Y59" s="882">
        <f t="shared" si="85"/>
        <v>6226</v>
      </c>
      <c r="Z59" s="866">
        <f t="shared" si="96"/>
        <v>0.1</v>
      </c>
      <c r="AA59" s="882">
        <f t="shared" si="86"/>
        <v>3113</v>
      </c>
      <c r="AB59" s="866"/>
      <c r="AC59" s="859">
        <f t="shared" si="87"/>
        <v>0</v>
      </c>
      <c r="AD59" s="866"/>
      <c r="AE59" s="859">
        <f t="shared" si="88"/>
        <v>0</v>
      </c>
      <c r="AF59" s="866"/>
      <c r="AG59" s="859">
        <f t="shared" si="89"/>
        <v>0</v>
      </c>
      <c r="AH59" s="864">
        <f t="shared" si="90"/>
        <v>1</v>
      </c>
      <c r="AI59" s="260">
        <f t="shared" si="91"/>
        <v>31131</v>
      </c>
    </row>
    <row r="60" spans="1:35" ht="30" x14ac:dyDescent="0.2">
      <c r="A60" s="487" t="s">
        <v>563</v>
      </c>
      <c r="B60" s="507">
        <v>83356</v>
      </c>
      <c r="C60" s="507"/>
      <c r="D60" s="520" t="s">
        <v>519</v>
      </c>
      <c r="E60" s="521" t="s">
        <v>241</v>
      </c>
      <c r="F60" s="522">
        <f>'Mem. Calc.'!E51</f>
        <v>78077.84</v>
      </c>
      <c r="G60" s="490">
        <f t="shared" si="77"/>
        <v>0.27</v>
      </c>
      <c r="H60" s="522">
        <v>21157.86</v>
      </c>
      <c r="I60" s="1390"/>
      <c r="J60" s="856"/>
      <c r="K60" s="857">
        <f t="shared" si="78"/>
        <v>0</v>
      </c>
      <c r="L60" s="858"/>
      <c r="M60" s="859">
        <f t="shared" si="79"/>
        <v>0</v>
      </c>
      <c r="N60" s="858"/>
      <c r="O60" s="859">
        <f t="shared" si="80"/>
        <v>0</v>
      </c>
      <c r="P60" s="858"/>
      <c r="Q60" s="859">
        <f t="shared" si="81"/>
        <v>0</v>
      </c>
      <c r="R60" s="858">
        <f t="shared" si="92"/>
        <v>0.3</v>
      </c>
      <c r="S60" s="882">
        <f t="shared" si="82"/>
        <v>23423</v>
      </c>
      <c r="T60" s="866">
        <f t="shared" si="93"/>
        <v>0.2</v>
      </c>
      <c r="U60" s="882">
        <f t="shared" si="83"/>
        <v>15616</v>
      </c>
      <c r="V60" s="866">
        <f t="shared" si="94"/>
        <v>0.2</v>
      </c>
      <c r="W60" s="882">
        <f t="shared" si="84"/>
        <v>15616</v>
      </c>
      <c r="X60" s="866">
        <f t="shared" si="95"/>
        <v>0.2</v>
      </c>
      <c r="Y60" s="882">
        <f t="shared" si="85"/>
        <v>15616</v>
      </c>
      <c r="Z60" s="866">
        <f t="shared" si="96"/>
        <v>0.1</v>
      </c>
      <c r="AA60" s="882">
        <f t="shared" si="86"/>
        <v>7808</v>
      </c>
      <c r="AB60" s="866"/>
      <c r="AC60" s="859">
        <f t="shared" si="87"/>
        <v>0</v>
      </c>
      <c r="AD60" s="866"/>
      <c r="AE60" s="859">
        <f t="shared" si="88"/>
        <v>0</v>
      </c>
      <c r="AF60" s="866"/>
      <c r="AG60" s="859">
        <f t="shared" si="89"/>
        <v>0</v>
      </c>
      <c r="AH60" s="864">
        <f t="shared" si="90"/>
        <v>1</v>
      </c>
      <c r="AI60" s="260">
        <f t="shared" si="91"/>
        <v>78079</v>
      </c>
    </row>
    <row r="61" spans="1:35" x14ac:dyDescent="0.2">
      <c r="A61" s="493"/>
      <c r="B61" s="501"/>
      <c r="C61" s="501"/>
      <c r="D61" s="502" t="s">
        <v>7</v>
      </c>
      <c r="E61" s="501"/>
      <c r="F61" s="503"/>
      <c r="G61" s="497"/>
      <c r="H61" s="503">
        <f>SUM(H48:H60)</f>
        <v>357225.19</v>
      </c>
      <c r="I61" s="1390"/>
      <c r="J61" s="858"/>
      <c r="K61" s="860"/>
      <c r="L61" s="858"/>
      <c r="M61" s="410"/>
      <c r="N61" s="858"/>
      <c r="O61" s="410"/>
      <c r="P61" s="858"/>
      <c r="Q61" s="410"/>
      <c r="R61" s="858"/>
      <c r="S61" s="882"/>
      <c r="T61" s="866"/>
      <c r="U61" s="882"/>
      <c r="V61" s="866"/>
      <c r="W61" s="882"/>
      <c r="X61" s="866"/>
      <c r="Y61" s="882"/>
      <c r="Z61" s="866"/>
      <c r="AA61" s="882"/>
      <c r="AB61" s="866"/>
      <c r="AC61" s="410"/>
      <c r="AD61" s="866"/>
      <c r="AE61" s="410"/>
      <c r="AF61" s="866"/>
      <c r="AG61" s="410"/>
    </row>
    <row r="62" spans="1:35" x14ac:dyDescent="0.2">
      <c r="A62" s="493" t="s">
        <v>165</v>
      </c>
      <c r="B62" s="494"/>
      <c r="C62" s="494"/>
      <c r="D62" s="840" t="s">
        <v>375</v>
      </c>
      <c r="E62" s="501"/>
      <c r="F62" s="502"/>
      <c r="G62" s="497"/>
      <c r="H62" s="517"/>
      <c r="I62" s="1390"/>
      <c r="J62" s="858"/>
      <c r="K62" s="860"/>
      <c r="L62" s="858"/>
      <c r="M62" s="410"/>
      <c r="N62" s="858"/>
      <c r="O62" s="410"/>
      <c r="P62" s="858"/>
      <c r="Q62" s="410"/>
      <c r="R62" s="858"/>
      <c r="S62" s="882"/>
      <c r="T62" s="858"/>
      <c r="U62" s="882"/>
      <c r="V62" s="858"/>
      <c r="W62" s="882"/>
      <c r="X62" s="858"/>
      <c r="Y62" s="882"/>
      <c r="Z62" s="858"/>
      <c r="AA62" s="882"/>
      <c r="AB62" s="858"/>
      <c r="AC62" s="410"/>
      <c r="AD62" s="858"/>
      <c r="AE62" s="410"/>
      <c r="AF62" s="858"/>
      <c r="AG62" s="410"/>
    </row>
    <row r="63" spans="1:35" ht="60" x14ac:dyDescent="0.2">
      <c r="A63" s="487" t="s">
        <v>475</v>
      </c>
      <c r="B63" s="492">
        <v>94267</v>
      </c>
      <c r="C63" s="492"/>
      <c r="D63" s="510" t="s">
        <v>406</v>
      </c>
      <c r="E63" s="492" t="s">
        <v>5</v>
      </c>
      <c r="F63" s="504">
        <f>'Mem. Calc.'!E55</f>
        <v>8879.56</v>
      </c>
      <c r="G63" s="490">
        <f t="shared" ref="G63:G66" si="97">H63/F63</f>
        <v>12.5</v>
      </c>
      <c r="H63" s="504">
        <v>111037.56</v>
      </c>
      <c r="I63" s="1390"/>
      <c r="J63" s="856"/>
      <c r="K63" s="857">
        <f t="shared" ref="K63:K66" si="98">F63*J63</f>
        <v>0</v>
      </c>
      <c r="L63" s="858"/>
      <c r="M63" s="859">
        <f t="shared" ref="M63:M66" si="99">F63*L63</f>
        <v>0</v>
      </c>
      <c r="N63" s="858"/>
      <c r="O63" s="859">
        <f t="shared" ref="O63:O66" si="100">N63*F63</f>
        <v>0</v>
      </c>
      <c r="P63" s="858"/>
      <c r="Q63" s="859">
        <f t="shared" ref="Q63:Q66" si="101">P63*F63</f>
        <v>0</v>
      </c>
      <c r="R63" s="858"/>
      <c r="S63" s="882">
        <f t="shared" ref="S63:S66" si="102">R63*F63</f>
        <v>0</v>
      </c>
      <c r="T63" s="866"/>
      <c r="U63" s="882">
        <f t="shared" ref="U63:U66" si="103">T63*F63</f>
        <v>0</v>
      </c>
      <c r="V63" s="866">
        <v>0.3</v>
      </c>
      <c r="W63" s="882">
        <f t="shared" ref="W63:W66" si="104">V63*F63</f>
        <v>2664</v>
      </c>
      <c r="X63" s="866">
        <v>0.2</v>
      </c>
      <c r="Y63" s="882">
        <f t="shared" ref="Y63:Y66" si="105">X63*F63</f>
        <v>1776</v>
      </c>
      <c r="Z63" s="866">
        <v>0.2</v>
      </c>
      <c r="AA63" s="882">
        <f t="shared" ref="AA63:AA66" si="106">Z63*F63</f>
        <v>1776</v>
      </c>
      <c r="AB63" s="866">
        <v>0.2</v>
      </c>
      <c r="AC63" s="859">
        <f t="shared" ref="AC63:AC66" si="107">AB63*F63</f>
        <v>1775.91</v>
      </c>
      <c r="AD63" s="866">
        <v>0.1</v>
      </c>
      <c r="AE63" s="859">
        <f t="shared" ref="AE63:AE66" si="108">AD63*F63</f>
        <v>887.96</v>
      </c>
      <c r="AF63" s="866"/>
      <c r="AG63" s="859">
        <f t="shared" ref="AG63:AG66" si="109">AF63*F63</f>
        <v>0</v>
      </c>
      <c r="AH63" s="864">
        <f t="shared" ref="AH63:AH66" si="110">AF63+AD63+AB63+Z63+X63+V63+T63+R63+P63+N63+L63+J63</f>
        <v>1</v>
      </c>
      <c r="AI63" s="260">
        <f t="shared" ref="AI63:AI66" si="111">AG63+AE63+AC63+AA63+Y63+W63+U63+S63+Q63+O63+M63+K63</f>
        <v>8879.8700000000008</v>
      </c>
    </row>
    <row r="64" spans="1:35" ht="30" x14ac:dyDescent="0.2">
      <c r="A64" s="487" t="s">
        <v>476</v>
      </c>
      <c r="B64" s="492">
        <v>94265</v>
      </c>
      <c r="C64" s="492"/>
      <c r="D64" s="510" t="s">
        <v>532</v>
      </c>
      <c r="E64" s="492" t="s">
        <v>5</v>
      </c>
      <c r="F64" s="504">
        <f>'Mem. Calc.'!E56</f>
        <v>320.33</v>
      </c>
      <c r="G64" s="490">
        <f t="shared" si="97"/>
        <v>17.93</v>
      </c>
      <c r="H64" s="504">
        <v>5743.15</v>
      </c>
      <c r="I64" s="1390"/>
      <c r="J64" s="856"/>
      <c r="K64" s="857">
        <f t="shared" si="98"/>
        <v>0</v>
      </c>
      <c r="L64" s="858"/>
      <c r="M64" s="859">
        <f t="shared" si="99"/>
        <v>0</v>
      </c>
      <c r="N64" s="858"/>
      <c r="O64" s="859">
        <f t="shared" si="100"/>
        <v>0</v>
      </c>
      <c r="P64" s="858"/>
      <c r="Q64" s="859">
        <f t="shared" si="101"/>
        <v>0</v>
      </c>
      <c r="R64" s="858"/>
      <c r="S64" s="882">
        <f t="shared" si="102"/>
        <v>0</v>
      </c>
      <c r="T64" s="866"/>
      <c r="U64" s="882">
        <f t="shared" si="103"/>
        <v>0</v>
      </c>
      <c r="V64" s="866">
        <f>V63</f>
        <v>0.3</v>
      </c>
      <c r="W64" s="882">
        <f t="shared" si="104"/>
        <v>96</v>
      </c>
      <c r="X64" s="866">
        <v>0.2</v>
      </c>
      <c r="Y64" s="882">
        <f t="shared" si="105"/>
        <v>64</v>
      </c>
      <c r="Z64" s="866">
        <f>Z63</f>
        <v>0.2</v>
      </c>
      <c r="AA64" s="882">
        <f t="shared" si="106"/>
        <v>64</v>
      </c>
      <c r="AB64" s="866">
        <f>AB63</f>
        <v>0.2</v>
      </c>
      <c r="AC64" s="859">
        <f t="shared" si="107"/>
        <v>64.069999999999993</v>
      </c>
      <c r="AD64" s="866">
        <f>AD63</f>
        <v>0.1</v>
      </c>
      <c r="AE64" s="859">
        <f t="shared" si="108"/>
        <v>32.03</v>
      </c>
      <c r="AF64" s="866"/>
      <c r="AG64" s="859">
        <f t="shared" si="109"/>
        <v>0</v>
      </c>
      <c r="AH64" s="864">
        <f t="shared" si="110"/>
        <v>1</v>
      </c>
      <c r="AI64" s="260">
        <f t="shared" si="111"/>
        <v>320.10000000000002</v>
      </c>
    </row>
    <row r="65" spans="1:35" ht="30" x14ac:dyDescent="0.2">
      <c r="A65" s="487" t="s">
        <v>477</v>
      </c>
      <c r="B65" s="492">
        <v>94098</v>
      </c>
      <c r="C65" s="492"/>
      <c r="D65" s="510" t="s">
        <v>407</v>
      </c>
      <c r="E65" s="492" t="s">
        <v>6</v>
      </c>
      <c r="F65" s="504">
        <v>4207.0200000000004</v>
      </c>
      <c r="G65" s="490">
        <f t="shared" si="97"/>
        <v>6.05</v>
      </c>
      <c r="H65" s="504">
        <v>25447.84</v>
      </c>
      <c r="I65" s="1390"/>
      <c r="J65" s="856"/>
      <c r="K65" s="857">
        <f t="shared" si="98"/>
        <v>0</v>
      </c>
      <c r="L65" s="858"/>
      <c r="M65" s="859">
        <f t="shared" si="99"/>
        <v>0</v>
      </c>
      <c r="N65" s="858"/>
      <c r="O65" s="859">
        <f t="shared" si="100"/>
        <v>0</v>
      </c>
      <c r="P65" s="858"/>
      <c r="Q65" s="859">
        <f t="shared" si="101"/>
        <v>0</v>
      </c>
      <c r="R65" s="858"/>
      <c r="S65" s="882">
        <f t="shared" si="102"/>
        <v>0</v>
      </c>
      <c r="T65" s="866"/>
      <c r="U65" s="882">
        <f t="shared" si="103"/>
        <v>0</v>
      </c>
      <c r="V65" s="866">
        <f t="shared" ref="V65:V66" si="112">V64</f>
        <v>0.3</v>
      </c>
      <c r="W65" s="882">
        <f t="shared" si="104"/>
        <v>1262</v>
      </c>
      <c r="X65" s="866">
        <v>0.2</v>
      </c>
      <c r="Y65" s="882">
        <f t="shared" si="105"/>
        <v>841</v>
      </c>
      <c r="Z65" s="866">
        <f t="shared" ref="Z65:Z66" si="113">Z64</f>
        <v>0.2</v>
      </c>
      <c r="AA65" s="882">
        <f t="shared" si="106"/>
        <v>841</v>
      </c>
      <c r="AB65" s="866">
        <f t="shared" ref="AB65:AB66" si="114">AB64</f>
        <v>0.2</v>
      </c>
      <c r="AC65" s="859">
        <f t="shared" si="107"/>
        <v>841.4</v>
      </c>
      <c r="AD65" s="866">
        <f t="shared" ref="AD65:AD66" si="115">AD64</f>
        <v>0.1</v>
      </c>
      <c r="AE65" s="859">
        <f t="shared" si="108"/>
        <v>420.7</v>
      </c>
      <c r="AF65" s="866"/>
      <c r="AG65" s="859">
        <f t="shared" si="109"/>
        <v>0</v>
      </c>
      <c r="AH65" s="864">
        <f t="shared" si="110"/>
        <v>1</v>
      </c>
      <c r="AI65" s="260">
        <f t="shared" si="111"/>
        <v>4206.1000000000004</v>
      </c>
    </row>
    <row r="66" spans="1:35" ht="45" x14ac:dyDescent="0.2">
      <c r="A66" s="487" t="s">
        <v>536</v>
      </c>
      <c r="B66" s="492">
        <v>94990</v>
      </c>
      <c r="C66" s="492"/>
      <c r="D66" s="510" t="s">
        <v>409</v>
      </c>
      <c r="E66" s="492" t="s">
        <v>31</v>
      </c>
      <c r="F66" s="504">
        <v>294.47000000000003</v>
      </c>
      <c r="G66" s="490">
        <f t="shared" si="97"/>
        <v>632.45000000000005</v>
      </c>
      <c r="H66" s="504">
        <v>186238.02</v>
      </c>
      <c r="I66" s="1390"/>
      <c r="J66" s="856"/>
      <c r="K66" s="857">
        <f t="shared" si="98"/>
        <v>0</v>
      </c>
      <c r="L66" s="858"/>
      <c r="M66" s="859">
        <f t="shared" si="99"/>
        <v>0</v>
      </c>
      <c r="N66" s="858"/>
      <c r="O66" s="859">
        <f t="shared" si="100"/>
        <v>0</v>
      </c>
      <c r="P66" s="858"/>
      <c r="Q66" s="859">
        <f t="shared" si="101"/>
        <v>0</v>
      </c>
      <c r="R66" s="858"/>
      <c r="S66" s="882">
        <f t="shared" si="102"/>
        <v>0</v>
      </c>
      <c r="T66" s="866"/>
      <c r="U66" s="882">
        <f t="shared" si="103"/>
        <v>0</v>
      </c>
      <c r="V66" s="866">
        <f t="shared" si="112"/>
        <v>0.3</v>
      </c>
      <c r="W66" s="882">
        <f t="shared" si="104"/>
        <v>88</v>
      </c>
      <c r="X66" s="866">
        <v>0.2</v>
      </c>
      <c r="Y66" s="882">
        <f t="shared" si="105"/>
        <v>59</v>
      </c>
      <c r="Z66" s="866">
        <f t="shared" si="113"/>
        <v>0.2</v>
      </c>
      <c r="AA66" s="882">
        <f t="shared" si="106"/>
        <v>59</v>
      </c>
      <c r="AB66" s="866">
        <f t="shared" si="114"/>
        <v>0.2</v>
      </c>
      <c r="AC66" s="859">
        <f t="shared" si="107"/>
        <v>58.89</v>
      </c>
      <c r="AD66" s="866">
        <f t="shared" si="115"/>
        <v>0.1</v>
      </c>
      <c r="AE66" s="859">
        <f t="shared" si="108"/>
        <v>29.45</v>
      </c>
      <c r="AF66" s="866"/>
      <c r="AG66" s="859">
        <f t="shared" si="109"/>
        <v>0</v>
      </c>
      <c r="AH66" s="864">
        <f t="shared" si="110"/>
        <v>1</v>
      </c>
      <c r="AI66" s="260">
        <f t="shared" si="111"/>
        <v>294.33999999999997</v>
      </c>
    </row>
    <row r="67" spans="1:35" x14ac:dyDescent="0.2">
      <c r="A67" s="523"/>
      <c r="B67" s="494"/>
      <c r="C67" s="494"/>
      <c r="D67" s="502" t="s">
        <v>7</v>
      </c>
      <c r="E67" s="501"/>
      <c r="F67" s="503"/>
      <c r="G67" s="497"/>
      <c r="H67" s="503">
        <f>+SUM(H63:H66)</f>
        <v>328466.57</v>
      </c>
      <c r="I67" s="1390"/>
      <c r="J67" s="858"/>
      <c r="K67" s="860"/>
      <c r="L67" s="858"/>
      <c r="M67" s="410"/>
      <c r="N67" s="858"/>
      <c r="O67" s="860"/>
      <c r="P67" s="858"/>
      <c r="Q67" s="410"/>
      <c r="R67" s="858"/>
      <c r="S67" s="882"/>
      <c r="T67" s="866"/>
      <c r="U67" s="882"/>
      <c r="V67" s="866"/>
      <c r="W67" s="882"/>
      <c r="X67" s="866"/>
      <c r="Y67" s="882"/>
      <c r="Z67" s="866"/>
      <c r="AA67" s="882"/>
      <c r="AB67" s="866"/>
      <c r="AC67" s="410"/>
      <c r="AD67" s="866"/>
      <c r="AE67" s="410"/>
      <c r="AF67" s="866"/>
      <c r="AG67" s="410"/>
    </row>
    <row r="68" spans="1:35" x14ac:dyDescent="0.2">
      <c r="A68" s="493" t="s">
        <v>166</v>
      </c>
      <c r="B68" s="494"/>
      <c r="C68" s="494"/>
      <c r="D68" s="516" t="s">
        <v>135</v>
      </c>
      <c r="E68" s="516"/>
      <c r="F68" s="516"/>
      <c r="G68" s="497"/>
      <c r="H68" s="517"/>
      <c r="I68" s="1390"/>
      <c r="J68" s="858"/>
      <c r="K68" s="860"/>
      <c r="L68" s="858"/>
      <c r="M68" s="410"/>
      <c r="N68" s="858"/>
      <c r="O68" s="860"/>
      <c r="P68" s="858"/>
      <c r="Q68" s="410"/>
      <c r="R68" s="858"/>
      <c r="S68" s="882"/>
      <c r="T68" s="866"/>
      <c r="U68" s="882"/>
      <c r="V68" s="866"/>
      <c r="W68" s="882"/>
      <c r="X68" s="866"/>
      <c r="Y68" s="882"/>
      <c r="Z68" s="866"/>
      <c r="AA68" s="882"/>
      <c r="AB68" s="866"/>
      <c r="AC68" s="410"/>
      <c r="AD68" s="866"/>
      <c r="AE68" s="410"/>
      <c r="AF68" s="866"/>
      <c r="AG68" s="410"/>
    </row>
    <row r="69" spans="1:35" x14ac:dyDescent="0.2">
      <c r="A69" s="506" t="s">
        <v>478</v>
      </c>
      <c r="B69" s="1392" t="e">
        <f>COMPOSIÇÕES!#REF!</f>
        <v>#REF!</v>
      </c>
      <c r="C69" s="1393"/>
      <c r="D69" s="508" t="e">
        <f>COMPOSIÇÕES!#REF!</f>
        <v>#REF!</v>
      </c>
      <c r="E69" s="507" t="e">
        <f>COMPOSIÇÕES!#REF!</f>
        <v>#REF!</v>
      </c>
      <c r="F69" s="529">
        <f>'Mem. Calc.'!E59</f>
        <v>149</v>
      </c>
      <c r="G69" s="490">
        <f t="shared" ref="G69:G73" si="116">H69/F69</f>
        <v>30.38</v>
      </c>
      <c r="H69" s="509">
        <v>4526.04</v>
      </c>
      <c r="I69" s="1390"/>
      <c r="J69" s="856"/>
      <c r="K69" s="857">
        <f t="shared" ref="K69:K73" si="117">F69*J69</f>
        <v>0</v>
      </c>
      <c r="L69" s="858"/>
      <c r="M69" s="859">
        <f t="shared" ref="M69:M73" si="118">F69*L69</f>
        <v>0</v>
      </c>
      <c r="N69" s="858"/>
      <c r="O69" s="859">
        <f t="shared" ref="O69:O73" si="119">N69*F69</f>
        <v>0</v>
      </c>
      <c r="P69" s="858"/>
      <c r="Q69" s="859">
        <f t="shared" ref="Q69:Q73" si="120">P69*F69</f>
        <v>0</v>
      </c>
      <c r="R69" s="858"/>
      <c r="S69" s="882">
        <f t="shared" ref="S69:S73" si="121">R69*F69</f>
        <v>0</v>
      </c>
      <c r="T69" s="866"/>
      <c r="U69" s="882">
        <f t="shared" ref="U69:U73" si="122">T69*F69</f>
        <v>0</v>
      </c>
      <c r="V69" s="866"/>
      <c r="W69" s="882">
        <f t="shared" ref="W69:W73" si="123">V69*F69</f>
        <v>0</v>
      </c>
      <c r="X69" s="866"/>
      <c r="Y69" s="882">
        <f t="shared" ref="Y69:Y73" si="124">X69*F69</f>
        <v>0</v>
      </c>
      <c r="Z69" s="866"/>
      <c r="AA69" s="882">
        <f t="shared" ref="AA69:AA73" si="125">Z69*F69</f>
        <v>0</v>
      </c>
      <c r="AB69" s="866"/>
      <c r="AC69" s="859">
        <f t="shared" ref="AC69:AC73" si="126">AB69*F69</f>
        <v>0</v>
      </c>
      <c r="AD69" s="866">
        <v>0.2</v>
      </c>
      <c r="AE69" s="859">
        <f t="shared" ref="AE69:AE73" si="127">AD69*F69</f>
        <v>29.8</v>
      </c>
      <c r="AF69" s="866">
        <v>0.8</v>
      </c>
      <c r="AG69" s="859">
        <f t="shared" ref="AG69:AG73" si="128">AF69*F69</f>
        <v>119.2</v>
      </c>
      <c r="AH69" s="864">
        <f t="shared" ref="AH69:AH73" si="129">AF69+AD69+AB69+Z69+X69+V69+T69+R69+P69+N69+L69+J69</f>
        <v>1</v>
      </c>
      <c r="AI69" s="260">
        <f t="shared" ref="AI69:AI73" si="130">AG69+AE69+AC69+AA69+Y69+W69+U69+S69+Q69+O69+M69+K69</f>
        <v>149</v>
      </c>
    </row>
    <row r="70" spans="1:35" x14ac:dyDescent="0.2">
      <c r="A70" s="506" t="s">
        <v>249</v>
      </c>
      <c r="B70" s="1392" t="e">
        <f>COMPOSIÇÕES!#REF!</f>
        <v>#REF!</v>
      </c>
      <c r="C70" s="1393"/>
      <c r="D70" s="508" t="e">
        <f>COMPOSIÇÕES!#REF!</f>
        <v>#REF!</v>
      </c>
      <c r="E70" s="507" t="e">
        <f>COMPOSIÇÕES!#REF!</f>
        <v>#REF!</v>
      </c>
      <c r="F70" s="529">
        <f>'Mem. Calc.'!E60</f>
        <v>26.3</v>
      </c>
      <c r="G70" s="490">
        <f t="shared" si="116"/>
        <v>336.31</v>
      </c>
      <c r="H70" s="509">
        <v>8844.8700000000008</v>
      </c>
      <c r="I70" s="1390"/>
      <c r="J70" s="856"/>
      <c r="K70" s="857">
        <f t="shared" si="117"/>
        <v>0</v>
      </c>
      <c r="L70" s="858"/>
      <c r="M70" s="859">
        <f t="shared" si="118"/>
        <v>0</v>
      </c>
      <c r="N70" s="858"/>
      <c r="O70" s="859">
        <f t="shared" si="119"/>
        <v>0</v>
      </c>
      <c r="P70" s="858"/>
      <c r="Q70" s="859">
        <f t="shared" si="120"/>
        <v>0</v>
      </c>
      <c r="R70" s="858"/>
      <c r="S70" s="882">
        <f t="shared" si="121"/>
        <v>0</v>
      </c>
      <c r="T70" s="866"/>
      <c r="U70" s="882">
        <f t="shared" si="122"/>
        <v>0</v>
      </c>
      <c r="V70" s="866"/>
      <c r="W70" s="882">
        <f t="shared" si="123"/>
        <v>0</v>
      </c>
      <c r="X70" s="866"/>
      <c r="Y70" s="882">
        <f t="shared" si="124"/>
        <v>0</v>
      </c>
      <c r="Z70" s="866"/>
      <c r="AA70" s="882">
        <f t="shared" si="125"/>
        <v>0</v>
      </c>
      <c r="AB70" s="866"/>
      <c r="AC70" s="859">
        <f t="shared" si="126"/>
        <v>0</v>
      </c>
      <c r="AD70" s="866">
        <f>AD69</f>
        <v>0.2</v>
      </c>
      <c r="AE70" s="859">
        <f t="shared" si="127"/>
        <v>5.26</v>
      </c>
      <c r="AF70" s="866">
        <f>AF69</f>
        <v>0.8</v>
      </c>
      <c r="AG70" s="859">
        <f t="shared" si="128"/>
        <v>21.04</v>
      </c>
      <c r="AH70" s="864">
        <f t="shared" si="129"/>
        <v>1</v>
      </c>
      <c r="AI70" s="260">
        <f t="shared" si="130"/>
        <v>26.3</v>
      </c>
    </row>
    <row r="71" spans="1:35" ht="30" x14ac:dyDescent="0.2">
      <c r="A71" s="506" t="s">
        <v>479</v>
      </c>
      <c r="B71" s="492" t="s">
        <v>521</v>
      </c>
      <c r="C71" s="492"/>
      <c r="D71" s="508" t="s">
        <v>522</v>
      </c>
      <c r="E71" s="507" t="s">
        <v>49</v>
      </c>
      <c r="F71" s="529">
        <f>'Mem. Calc.'!E61</f>
        <v>39</v>
      </c>
      <c r="G71" s="490">
        <f t="shared" si="116"/>
        <v>98.7</v>
      </c>
      <c r="H71" s="509">
        <v>3849.4</v>
      </c>
      <c r="I71" s="1390"/>
      <c r="J71" s="856"/>
      <c r="K71" s="857">
        <f t="shared" si="117"/>
        <v>0</v>
      </c>
      <c r="L71" s="858"/>
      <c r="M71" s="859">
        <f t="shared" si="118"/>
        <v>0</v>
      </c>
      <c r="N71" s="858"/>
      <c r="O71" s="859">
        <f t="shared" si="119"/>
        <v>0</v>
      </c>
      <c r="P71" s="858"/>
      <c r="Q71" s="859">
        <f t="shared" si="120"/>
        <v>0</v>
      </c>
      <c r="R71" s="858"/>
      <c r="S71" s="882">
        <f t="shared" si="121"/>
        <v>0</v>
      </c>
      <c r="T71" s="866"/>
      <c r="U71" s="882">
        <f t="shared" si="122"/>
        <v>0</v>
      </c>
      <c r="V71" s="866"/>
      <c r="W71" s="882">
        <f t="shared" si="123"/>
        <v>0</v>
      </c>
      <c r="X71" s="866"/>
      <c r="Y71" s="882">
        <f t="shared" si="124"/>
        <v>0</v>
      </c>
      <c r="Z71" s="866"/>
      <c r="AA71" s="882">
        <f t="shared" si="125"/>
        <v>0</v>
      </c>
      <c r="AB71" s="866"/>
      <c r="AC71" s="859">
        <f t="shared" si="126"/>
        <v>0</v>
      </c>
      <c r="AD71" s="866">
        <f t="shared" ref="AD71:AD73" si="131">AD70</f>
        <v>0.2</v>
      </c>
      <c r="AE71" s="859">
        <f t="shared" si="127"/>
        <v>7.8</v>
      </c>
      <c r="AF71" s="866">
        <f t="shared" ref="AF71:AF73" si="132">AF70</f>
        <v>0.8</v>
      </c>
      <c r="AG71" s="859">
        <f t="shared" si="128"/>
        <v>31.2</v>
      </c>
      <c r="AH71" s="864">
        <f t="shared" si="129"/>
        <v>1</v>
      </c>
      <c r="AI71" s="260">
        <f t="shared" si="130"/>
        <v>39</v>
      </c>
    </row>
    <row r="72" spans="1:35" ht="30" x14ac:dyDescent="0.2">
      <c r="A72" s="506" t="s">
        <v>277</v>
      </c>
      <c r="B72" s="492">
        <v>72947</v>
      </c>
      <c r="C72" s="492"/>
      <c r="D72" s="508" t="s">
        <v>520</v>
      </c>
      <c r="E72" s="507" t="s">
        <v>512</v>
      </c>
      <c r="F72" s="529">
        <f>'Mem. Calc.'!E62</f>
        <v>2696.73</v>
      </c>
      <c r="G72" s="490">
        <f t="shared" si="116"/>
        <v>9.7799999999999994</v>
      </c>
      <c r="H72" s="509">
        <v>26382.45</v>
      </c>
      <c r="I72" s="1390"/>
      <c r="J72" s="856"/>
      <c r="K72" s="857">
        <f t="shared" si="117"/>
        <v>0</v>
      </c>
      <c r="L72" s="858"/>
      <c r="M72" s="859">
        <f t="shared" si="118"/>
        <v>0</v>
      </c>
      <c r="N72" s="858"/>
      <c r="O72" s="859">
        <f t="shared" si="119"/>
        <v>0</v>
      </c>
      <c r="P72" s="858"/>
      <c r="Q72" s="859">
        <f t="shared" si="120"/>
        <v>0</v>
      </c>
      <c r="R72" s="858"/>
      <c r="S72" s="882">
        <f t="shared" si="121"/>
        <v>0</v>
      </c>
      <c r="T72" s="866"/>
      <c r="U72" s="882">
        <f t="shared" si="122"/>
        <v>0</v>
      </c>
      <c r="V72" s="866"/>
      <c r="W72" s="882">
        <f t="shared" si="123"/>
        <v>0</v>
      </c>
      <c r="X72" s="866"/>
      <c r="Y72" s="882">
        <f t="shared" si="124"/>
        <v>0</v>
      </c>
      <c r="Z72" s="866"/>
      <c r="AA72" s="882">
        <f t="shared" si="125"/>
        <v>0</v>
      </c>
      <c r="AB72" s="866"/>
      <c r="AC72" s="859">
        <f t="shared" si="126"/>
        <v>0</v>
      </c>
      <c r="AD72" s="866">
        <f t="shared" si="131"/>
        <v>0.2</v>
      </c>
      <c r="AE72" s="859">
        <f t="shared" si="127"/>
        <v>539.35</v>
      </c>
      <c r="AF72" s="866">
        <f t="shared" si="132"/>
        <v>0.8</v>
      </c>
      <c r="AG72" s="859">
        <f t="shared" si="128"/>
        <v>2157.38</v>
      </c>
      <c r="AH72" s="864">
        <f t="shared" si="129"/>
        <v>1</v>
      </c>
      <c r="AI72" s="260">
        <f t="shared" si="130"/>
        <v>2696.73</v>
      </c>
    </row>
    <row r="73" spans="1:35" x14ac:dyDescent="0.2">
      <c r="A73" s="506" t="s">
        <v>278</v>
      </c>
      <c r="B73" s="1392" t="e">
        <f>COMPOSIÇÕES!#REF!</f>
        <v>#REF!</v>
      </c>
      <c r="C73" s="1393"/>
      <c r="D73" s="508" t="e">
        <f>COMPOSIÇÕES!#REF!</f>
        <v>#REF!</v>
      </c>
      <c r="E73" s="507" t="e">
        <f>COMPOSIÇÕES!#REF!</f>
        <v>#REF!</v>
      </c>
      <c r="F73" s="529" t="e">
        <f>'Mem. Calc.'!#REF!</f>
        <v>#REF!</v>
      </c>
      <c r="G73" s="490" t="e">
        <f t="shared" si="116"/>
        <v>#REF!</v>
      </c>
      <c r="H73" s="509">
        <v>112532.12</v>
      </c>
      <c r="I73" s="1390"/>
      <c r="J73" s="856"/>
      <c r="K73" s="857" t="e">
        <f t="shared" si="117"/>
        <v>#REF!</v>
      </c>
      <c r="L73" s="858"/>
      <c r="M73" s="859" t="e">
        <f t="shared" si="118"/>
        <v>#REF!</v>
      </c>
      <c r="N73" s="858"/>
      <c r="O73" s="859" t="e">
        <f t="shared" si="119"/>
        <v>#REF!</v>
      </c>
      <c r="P73" s="858"/>
      <c r="Q73" s="859" t="e">
        <f t="shared" si="120"/>
        <v>#REF!</v>
      </c>
      <c r="R73" s="858"/>
      <c r="S73" s="882" t="e">
        <f t="shared" si="121"/>
        <v>#REF!</v>
      </c>
      <c r="T73" s="866"/>
      <c r="U73" s="882" t="e">
        <f t="shared" si="122"/>
        <v>#REF!</v>
      </c>
      <c r="V73" s="866"/>
      <c r="W73" s="882" t="e">
        <f t="shared" si="123"/>
        <v>#REF!</v>
      </c>
      <c r="X73" s="866"/>
      <c r="Y73" s="882" t="e">
        <f t="shared" si="124"/>
        <v>#REF!</v>
      </c>
      <c r="Z73" s="866"/>
      <c r="AA73" s="882" t="e">
        <f t="shared" si="125"/>
        <v>#REF!</v>
      </c>
      <c r="AB73" s="866"/>
      <c r="AC73" s="859" t="e">
        <f t="shared" si="126"/>
        <v>#REF!</v>
      </c>
      <c r="AD73" s="866">
        <f t="shared" si="131"/>
        <v>0.2</v>
      </c>
      <c r="AE73" s="859" t="e">
        <f t="shared" si="127"/>
        <v>#REF!</v>
      </c>
      <c r="AF73" s="866">
        <f t="shared" si="132"/>
        <v>0.8</v>
      </c>
      <c r="AG73" s="859" t="e">
        <f t="shared" si="128"/>
        <v>#REF!</v>
      </c>
      <c r="AH73" s="864">
        <f t="shared" si="129"/>
        <v>1</v>
      </c>
      <c r="AI73" s="260" t="e">
        <f t="shared" si="130"/>
        <v>#REF!</v>
      </c>
    </row>
    <row r="74" spans="1:35" x14ac:dyDescent="0.2">
      <c r="A74" s="493"/>
      <c r="B74" s="494"/>
      <c r="C74" s="494"/>
      <c r="D74" s="502" t="s">
        <v>7</v>
      </c>
      <c r="E74" s="501"/>
      <c r="F74" s="503"/>
      <c r="G74" s="497"/>
      <c r="H74" s="503">
        <f>SUM(H69:H73)</f>
        <v>156134.88</v>
      </c>
      <c r="I74" s="1391"/>
      <c r="J74" s="858"/>
      <c r="K74" s="860"/>
      <c r="L74" s="858"/>
      <c r="M74" s="410"/>
      <c r="N74" s="858"/>
      <c r="O74" s="410"/>
      <c r="P74" s="858"/>
      <c r="Q74" s="410"/>
      <c r="R74" s="858"/>
      <c r="S74" s="882"/>
      <c r="T74" s="866"/>
      <c r="U74" s="882"/>
      <c r="V74" s="866"/>
      <c r="W74" s="882"/>
      <c r="X74" s="866"/>
      <c r="Y74" s="882"/>
      <c r="Z74" s="866"/>
      <c r="AA74" s="882"/>
      <c r="AB74" s="866"/>
      <c r="AC74" s="410"/>
      <c r="AD74" s="866"/>
      <c r="AE74" s="410"/>
      <c r="AF74" s="866"/>
      <c r="AG74" s="410"/>
    </row>
    <row r="75" spans="1:35" ht="38.25" customHeight="1" thickBot="1" x14ac:dyDescent="0.25">
      <c r="A75" s="1346" t="s">
        <v>149</v>
      </c>
      <c r="B75" s="1347"/>
      <c r="C75" s="1347"/>
      <c r="D75" s="1347"/>
      <c r="E75" s="1347"/>
      <c r="F75" s="1347"/>
      <c r="G75" s="1347"/>
      <c r="H75" s="530">
        <f>SUM(H10:H74)/2</f>
        <v>1402034.69</v>
      </c>
      <c r="I75" s="855">
        <f>I43+I15+I10+I18</f>
        <v>1</v>
      </c>
      <c r="J75" s="858"/>
      <c r="K75" s="860"/>
      <c r="L75" s="858"/>
      <c r="M75" s="859"/>
      <c r="N75" s="858"/>
      <c r="O75" s="860"/>
      <c r="P75" s="858"/>
      <c r="Q75" s="410"/>
      <c r="R75" s="858"/>
      <c r="S75" s="882"/>
      <c r="T75" s="866"/>
      <c r="U75" s="882"/>
      <c r="V75" s="866"/>
      <c r="W75" s="882"/>
      <c r="X75" s="866"/>
      <c r="Y75" s="882"/>
      <c r="Z75" s="866"/>
      <c r="AA75" s="882"/>
      <c r="AB75" s="866"/>
      <c r="AC75" s="410"/>
      <c r="AD75" s="866"/>
      <c r="AE75" s="410"/>
      <c r="AF75" s="866"/>
      <c r="AG75" s="410"/>
    </row>
    <row r="77" spans="1:35" x14ac:dyDescent="0.2">
      <c r="B77" s="262" t="str">
        <f>Terrap.!B26</f>
        <v>Robson Darcio Sousa</v>
      </c>
    </row>
    <row r="78" spans="1:35" x14ac:dyDescent="0.2">
      <c r="A78" s="245"/>
      <c r="B78" s="261" t="str">
        <f>Terrap.!B27</f>
        <v>ENGº CIVIL</v>
      </c>
      <c r="C78" s="245"/>
      <c r="L78" s="851"/>
      <c r="M78" s="263"/>
      <c r="O78" s="260"/>
    </row>
    <row r="79" spans="1:35" x14ac:dyDescent="0.2">
      <c r="A79" s="245"/>
      <c r="B79" s="245"/>
      <c r="C79" s="245"/>
      <c r="L79" s="851"/>
      <c r="M79" s="263"/>
      <c r="Q79" s="260"/>
    </row>
    <row r="80" spans="1:35" x14ac:dyDescent="0.2">
      <c r="A80" s="245"/>
      <c r="B80" s="245"/>
      <c r="C80" s="245"/>
      <c r="M80" s="260"/>
    </row>
    <row r="81" spans="1:13" x14ac:dyDescent="0.2">
      <c r="A81" s="245"/>
      <c r="B81" s="245"/>
      <c r="C81" s="245"/>
    </row>
    <row r="82" spans="1:13" x14ac:dyDescent="0.2">
      <c r="A82" s="245"/>
      <c r="B82" s="245"/>
      <c r="C82" s="245"/>
    </row>
    <row r="83" spans="1:13" x14ac:dyDescent="0.2">
      <c r="A83" s="245"/>
      <c r="B83" s="245"/>
      <c r="C83" s="245"/>
      <c r="I83" s="456" t="s">
        <v>374</v>
      </c>
      <c r="L83" s="847">
        <v>1482100</v>
      </c>
      <c r="M83" s="356"/>
    </row>
    <row r="84" spans="1:13" x14ac:dyDescent="0.2">
      <c r="A84" s="245"/>
      <c r="B84" s="245"/>
      <c r="C84" s="245"/>
      <c r="I84" s="456" t="s">
        <v>373</v>
      </c>
      <c r="L84" s="847">
        <v>25000</v>
      </c>
      <c r="M84" s="356"/>
    </row>
    <row r="85" spans="1:13" x14ac:dyDescent="0.2">
      <c r="A85" s="245"/>
      <c r="B85" s="245"/>
      <c r="C85" s="245"/>
      <c r="I85" s="456" t="s">
        <v>337</v>
      </c>
      <c r="L85" s="847">
        <f>SUM(L83:L84)</f>
        <v>1507100</v>
      </c>
      <c r="M85" s="579"/>
    </row>
    <row r="86" spans="1:13" x14ac:dyDescent="0.2">
      <c r="A86" s="245"/>
      <c r="B86" s="245"/>
      <c r="C86" s="245"/>
      <c r="L86" s="847">
        <f>L85-H75</f>
        <v>105065.31</v>
      </c>
      <c r="M86" s="260"/>
    </row>
  </sheetData>
  <mergeCells count="35">
    <mergeCell ref="A1:C2"/>
    <mergeCell ref="D1:I1"/>
    <mergeCell ref="D2:I2"/>
    <mergeCell ref="B3:E3"/>
    <mergeCell ref="F3:F5"/>
    <mergeCell ref="G3:I5"/>
    <mergeCell ref="B4:E4"/>
    <mergeCell ref="B5:E5"/>
    <mergeCell ref="L5:P6"/>
    <mergeCell ref="B6:E6"/>
    <mergeCell ref="A7:I7"/>
    <mergeCell ref="I10:I13"/>
    <mergeCell ref="B15:C15"/>
    <mergeCell ref="I15:I16"/>
    <mergeCell ref="R8:S8"/>
    <mergeCell ref="I18:I41"/>
    <mergeCell ref="I43:I74"/>
    <mergeCell ref="B56:C56"/>
    <mergeCell ref="B57:C57"/>
    <mergeCell ref="B58:C58"/>
    <mergeCell ref="B69:C69"/>
    <mergeCell ref="B70:C70"/>
    <mergeCell ref="B73:C73"/>
    <mergeCell ref="A75:G75"/>
    <mergeCell ref="J8:K8"/>
    <mergeCell ref="L8:M8"/>
    <mergeCell ref="N8:O8"/>
    <mergeCell ref="P8:Q8"/>
    <mergeCell ref="AF8:AG8"/>
    <mergeCell ref="T8:U8"/>
    <mergeCell ref="V8:W8"/>
    <mergeCell ref="X8:Y8"/>
    <mergeCell ref="Z8:AA8"/>
    <mergeCell ref="AB8:AC8"/>
    <mergeCell ref="AD8:AE8"/>
  </mergeCells>
  <pageMargins left="0.19685039370078741" right="0.19685039370078741" top="0.78740157480314965" bottom="0.39370078740157483" header="0.31496062992125984" footer="0.31496062992125984"/>
  <pageSetup paperSize="9" scale="37" fitToHeight="0" orientation="landscape" r:id="rId1"/>
  <headerFooter alignWithMargins="0"/>
  <rowBreaks count="3" manualBreakCount="3">
    <brk id="17" max="25" man="1"/>
    <brk id="25" max="25" man="1"/>
    <brk id="58" max="2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tabColor rgb="FFFFFF00"/>
  </sheetPr>
  <dimension ref="A1:T32"/>
  <sheetViews>
    <sheetView view="pageBreakPreview" topLeftCell="A10" zoomScale="70" zoomScaleSheetLayoutView="70" workbookViewId="0">
      <selection activeCell="K37" sqref="K37"/>
    </sheetView>
  </sheetViews>
  <sheetFormatPr defaultColWidth="9.140625" defaultRowHeight="12.75" x14ac:dyDescent="0.2"/>
  <cols>
    <col min="1" max="1" width="12.42578125" style="108" customWidth="1"/>
    <col min="2" max="2" width="45.140625" style="108" customWidth="1"/>
    <col min="3" max="3" width="17.140625" style="108" bestFit="1" customWidth="1"/>
    <col min="4" max="4" width="9.28515625" style="108" bestFit="1" customWidth="1"/>
    <col min="5" max="5" width="16" style="108" customWidth="1"/>
    <col min="6" max="6" width="9.42578125" style="108" customWidth="1"/>
    <col min="7" max="7" width="16" style="108" customWidth="1"/>
    <col min="8" max="8" width="9.42578125" style="108" customWidth="1"/>
    <col min="9" max="9" width="16" style="108" customWidth="1"/>
    <col min="10" max="10" width="9.42578125" style="108" customWidth="1"/>
    <col min="11" max="11" width="16" style="108" customWidth="1"/>
    <col min="12" max="12" width="9.42578125" style="108" customWidth="1"/>
    <col min="13" max="13" width="16" style="108" customWidth="1"/>
    <col min="14" max="14" width="9.42578125" style="108" customWidth="1"/>
    <col min="15" max="15" width="16" style="108" customWidth="1"/>
    <col min="16" max="16" width="9.42578125" style="108" customWidth="1"/>
    <col min="17" max="17" width="16" style="108" customWidth="1"/>
    <col min="18" max="18" width="9.42578125" style="108" customWidth="1"/>
    <col min="19" max="19" width="9.140625" style="108"/>
    <col min="20" max="20" width="9.28515625" style="108" bestFit="1" customWidth="1"/>
    <col min="21" max="16384" width="9.140625" style="108"/>
  </cols>
  <sheetData>
    <row r="1" spans="1:20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2"/>
      <c r="Q1" s="1112"/>
      <c r="R1" s="1113"/>
    </row>
    <row r="2" spans="1:20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6"/>
    </row>
    <row r="3" spans="1:20" ht="24.75" customHeight="1" x14ac:dyDescent="0.2">
      <c r="A3" s="796" t="s">
        <v>56</v>
      </c>
      <c r="B3" s="799" t="str">
        <f>Terrap.!B3</f>
        <v xml:space="preserve">PAVIMENTAÇÃO ASFALTICA E DRENAGEM DE AGUAS PLUVIAIS 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1"/>
      <c r="P3" s="1406" t="str">
        <f>Terrap.!I3</f>
        <v>SINAPI - JULHO / 2020    DESONERADO                                                                                                                           SICRO 10/2019</v>
      </c>
      <c r="Q3" s="1407"/>
      <c r="R3" s="1408"/>
    </row>
    <row r="4" spans="1:20" ht="24.75" customHeight="1" x14ac:dyDescent="0.2">
      <c r="A4" s="796" t="s">
        <v>57</v>
      </c>
      <c r="B4" s="799" t="str">
        <f>Terrap.!B4</f>
        <v>DIVERSAS RUAS - PERIMETRO URBANO</v>
      </c>
      <c r="C4" s="800"/>
      <c r="D4" s="800"/>
      <c r="E4" s="800"/>
      <c r="F4" s="800"/>
      <c r="G4" s="800"/>
      <c r="H4" s="800"/>
      <c r="I4" s="800"/>
      <c r="J4" s="800"/>
      <c r="K4" s="800"/>
      <c r="L4" s="797"/>
      <c r="M4" s="797"/>
      <c r="N4" s="797"/>
      <c r="O4" s="798"/>
      <c r="P4" s="1409"/>
      <c r="Q4" s="1057"/>
      <c r="R4" s="1058"/>
    </row>
    <row r="5" spans="1:20" ht="24.75" customHeight="1" x14ac:dyDescent="0.2">
      <c r="A5" s="796" t="s">
        <v>58</v>
      </c>
      <c r="B5" s="799" t="str">
        <f>Terrap.!B5</f>
        <v xml:space="preserve">PREFEITURA MUNICIPAL DE BARRA DO BUGRES </v>
      </c>
      <c r="C5" s="800"/>
      <c r="D5" s="800"/>
      <c r="E5" s="800"/>
      <c r="F5" s="800"/>
      <c r="G5" s="800"/>
      <c r="H5" s="800"/>
      <c r="I5" s="800"/>
      <c r="J5" s="800"/>
      <c r="K5" s="801"/>
      <c r="L5" s="802" t="s">
        <v>362</v>
      </c>
      <c r="M5" s="1410" t="str">
        <f>Terrap.!F5</f>
        <v>AGOSTO 2020</v>
      </c>
      <c r="N5" s="1411"/>
      <c r="O5" s="1412"/>
      <c r="P5" s="1057"/>
      <c r="Q5" s="1057"/>
      <c r="R5" s="1058"/>
    </row>
    <row r="6" spans="1:20" ht="24.75" customHeight="1" thickBot="1" x14ac:dyDescent="0.25">
      <c r="A6" s="803" t="s">
        <v>59</v>
      </c>
      <c r="B6" s="1026">
        <f>Pavim.!B6</f>
        <v>31131.72</v>
      </c>
      <c r="C6" s="1027"/>
      <c r="D6" s="1027"/>
      <c r="E6" s="1027"/>
      <c r="F6" s="1027"/>
      <c r="G6" s="1027"/>
      <c r="H6" s="1027"/>
      <c r="I6" s="1027"/>
      <c r="J6" s="1027"/>
      <c r="K6" s="1028"/>
      <c r="L6" s="804" t="s">
        <v>60</v>
      </c>
      <c r="M6" s="1008">
        <f>Terrap.!F6</f>
        <v>0.25640000000000002</v>
      </c>
      <c r="N6" s="698" t="s">
        <v>61</v>
      </c>
      <c r="O6" s="698"/>
      <c r="P6" s="1059"/>
      <c r="Q6" s="1059"/>
      <c r="R6" s="1060"/>
    </row>
    <row r="7" spans="1:20" ht="33" customHeight="1" thickBot="1" x14ac:dyDescent="0.25">
      <c r="A7" s="1415" t="s">
        <v>9</v>
      </c>
      <c r="B7" s="1416"/>
      <c r="C7" s="1416"/>
      <c r="D7" s="1416"/>
      <c r="E7" s="805"/>
      <c r="F7" s="805"/>
      <c r="G7" s="805"/>
      <c r="H7" s="805"/>
      <c r="I7" s="805"/>
      <c r="J7" s="805"/>
      <c r="K7" s="805"/>
      <c r="L7" s="805"/>
      <c r="M7" s="805"/>
      <c r="N7" s="805"/>
      <c r="O7" s="805"/>
      <c r="P7" s="805"/>
      <c r="Q7" s="805"/>
      <c r="R7" s="806"/>
    </row>
    <row r="8" spans="1:20" x14ac:dyDescent="0.2">
      <c r="A8" s="1419" t="s">
        <v>0</v>
      </c>
      <c r="B8" s="1422" t="s">
        <v>10</v>
      </c>
      <c r="C8" s="1422" t="s">
        <v>11</v>
      </c>
      <c r="D8" s="1422"/>
      <c r="E8" s="1425" t="s">
        <v>12</v>
      </c>
      <c r="F8" s="1425"/>
      <c r="G8" s="1425"/>
      <c r="H8" s="1425"/>
      <c r="I8" s="1425"/>
      <c r="J8" s="1425"/>
      <c r="K8" s="1425"/>
      <c r="L8" s="1425"/>
      <c r="M8" s="1425"/>
      <c r="N8" s="1425"/>
      <c r="O8" s="1425"/>
      <c r="P8" s="1425"/>
      <c r="Q8" s="1425"/>
      <c r="R8" s="1426"/>
    </row>
    <row r="9" spans="1:20" x14ac:dyDescent="0.2">
      <c r="A9" s="1420"/>
      <c r="B9" s="1423"/>
      <c r="C9" s="1423"/>
      <c r="D9" s="1423"/>
      <c r="E9" s="1427" t="s">
        <v>271</v>
      </c>
      <c r="F9" s="1427"/>
      <c r="G9" s="1427" t="s">
        <v>266</v>
      </c>
      <c r="H9" s="1427"/>
      <c r="I9" s="1427" t="s">
        <v>272</v>
      </c>
      <c r="J9" s="1427"/>
      <c r="K9" s="1427" t="s">
        <v>267</v>
      </c>
      <c r="L9" s="1427"/>
      <c r="M9" s="1427" t="s">
        <v>273</v>
      </c>
      <c r="N9" s="1427"/>
      <c r="O9" s="1427" t="s">
        <v>597</v>
      </c>
      <c r="P9" s="1427"/>
      <c r="Q9" s="1427" t="s">
        <v>13</v>
      </c>
      <c r="R9" s="1428"/>
    </row>
    <row r="10" spans="1:20" x14ac:dyDescent="0.2">
      <c r="A10" s="1421"/>
      <c r="B10" s="1424"/>
      <c r="C10" s="599" t="s">
        <v>14</v>
      </c>
      <c r="D10" s="600" t="s">
        <v>15</v>
      </c>
      <c r="E10" s="599" t="s">
        <v>14</v>
      </c>
      <c r="F10" s="600" t="s">
        <v>15</v>
      </c>
      <c r="G10" s="601" t="s">
        <v>16</v>
      </c>
      <c r="H10" s="602" t="s">
        <v>15</v>
      </c>
      <c r="I10" s="601" t="s">
        <v>16</v>
      </c>
      <c r="J10" s="602" t="s">
        <v>15</v>
      </c>
      <c r="K10" s="601" t="s">
        <v>16</v>
      </c>
      <c r="L10" s="602" t="s">
        <v>15</v>
      </c>
      <c r="M10" s="601" t="s">
        <v>16</v>
      </c>
      <c r="N10" s="602" t="s">
        <v>15</v>
      </c>
      <c r="O10" s="601" t="s">
        <v>16</v>
      </c>
      <c r="P10" s="602" t="s">
        <v>15</v>
      </c>
      <c r="Q10" s="601" t="s">
        <v>16</v>
      </c>
      <c r="R10" s="603" t="s">
        <v>15</v>
      </c>
    </row>
    <row r="11" spans="1:20" s="345" customFormat="1" x14ac:dyDescent="0.2">
      <c r="A11" s="589"/>
      <c r="B11" s="604"/>
      <c r="C11" s="605"/>
      <c r="D11" s="606"/>
      <c r="E11" s="607"/>
      <c r="F11" s="608"/>
      <c r="G11" s="607"/>
      <c r="H11" s="609"/>
      <c r="I11" s="607"/>
      <c r="J11" s="608"/>
      <c r="K11" s="607"/>
      <c r="L11" s="608"/>
      <c r="M11" s="607"/>
      <c r="N11" s="608"/>
      <c r="O11" s="607"/>
      <c r="P11" s="608"/>
      <c r="Q11" s="607"/>
      <c r="R11" s="610"/>
      <c r="T11" s="342"/>
    </row>
    <row r="12" spans="1:20" s="302" customFormat="1" ht="23.25" customHeight="1" x14ac:dyDescent="0.2">
      <c r="A12" s="589">
        <f>Resumo!A10</f>
        <v>1</v>
      </c>
      <c r="B12" s="604" t="str">
        <f>Resumo!B10</f>
        <v>SERVIÇOS PRELIMINARES</v>
      </c>
      <c r="C12" s="605">
        <f>Resumo!E10</f>
        <v>86773.52</v>
      </c>
      <c r="D12" s="606">
        <f>Resumo!F10</f>
        <v>3.2099999999999997E-2</v>
      </c>
      <c r="E12" s="605">
        <f t="shared" ref="E12:O12" si="0">$C12*F12/100</f>
        <v>17354.7</v>
      </c>
      <c r="F12" s="620">
        <v>20</v>
      </c>
      <c r="G12" s="605">
        <f t="shared" si="0"/>
        <v>17354.7</v>
      </c>
      <c r="H12" s="795">
        <v>20</v>
      </c>
      <c r="I12" s="605">
        <f t="shared" si="0"/>
        <v>13016.03</v>
      </c>
      <c r="J12" s="620">
        <v>15</v>
      </c>
      <c r="K12" s="605">
        <f t="shared" si="0"/>
        <v>13016.03</v>
      </c>
      <c r="L12" s="620">
        <v>15</v>
      </c>
      <c r="M12" s="605">
        <f t="shared" si="0"/>
        <v>13016.03</v>
      </c>
      <c r="N12" s="620">
        <v>15</v>
      </c>
      <c r="O12" s="605">
        <f t="shared" si="0"/>
        <v>13016.03</v>
      </c>
      <c r="P12" s="620">
        <v>15</v>
      </c>
      <c r="Q12" s="611">
        <f>E12+G12+I12+K12+M12+O12</f>
        <v>86773.52</v>
      </c>
      <c r="R12" s="610">
        <f>F12+H12+J12+L12+N12+P12</f>
        <v>100</v>
      </c>
    </row>
    <row r="13" spans="1:20" s="343" customFormat="1" ht="23.25" customHeight="1" x14ac:dyDescent="0.2">
      <c r="A13" s="589"/>
      <c r="B13" s="604"/>
      <c r="C13" s="605"/>
      <c r="D13" s="606"/>
      <c r="E13" s="611"/>
      <c r="F13" s="612"/>
      <c r="G13" s="614"/>
      <c r="H13" s="615"/>
      <c r="I13" s="614"/>
      <c r="J13" s="612"/>
      <c r="K13" s="611"/>
      <c r="L13" s="612"/>
      <c r="M13" s="611"/>
      <c r="N13" s="612"/>
      <c r="O13" s="611"/>
      <c r="P13" s="612"/>
      <c r="Q13" s="611"/>
      <c r="R13" s="610"/>
      <c r="T13" s="342">
        <f t="shared" ref="T13:T24" si="1">C13-Q13</f>
        <v>0</v>
      </c>
    </row>
    <row r="14" spans="1:20" s="302" customFormat="1" ht="23.25" customHeight="1" x14ac:dyDescent="0.2">
      <c r="A14" s="589">
        <f>Resumo!A12</f>
        <v>2</v>
      </c>
      <c r="B14" s="617" t="str">
        <f>Resumo!B12</f>
        <v>DRENAGEM DE ÁGUAS PLUVIAIS</v>
      </c>
      <c r="C14" s="605"/>
      <c r="D14" s="606"/>
      <c r="E14" s="607"/>
      <c r="F14" s="608"/>
      <c r="G14" s="607"/>
      <c r="H14" s="613"/>
      <c r="I14" s="607"/>
      <c r="J14" s="608"/>
      <c r="K14" s="607"/>
      <c r="L14" s="608"/>
      <c r="M14" s="607"/>
      <c r="N14" s="608"/>
      <c r="O14" s="607"/>
      <c r="P14" s="608"/>
      <c r="Q14" s="607"/>
      <c r="R14" s="610"/>
      <c r="T14" s="342">
        <f t="shared" si="1"/>
        <v>0</v>
      </c>
    </row>
    <row r="15" spans="1:20" s="384" customFormat="1" ht="23.25" customHeight="1" x14ac:dyDescent="0.2">
      <c r="A15" s="618" t="str">
        <f>Resumo!A13</f>
        <v>2.1</v>
      </c>
      <c r="B15" s="619" t="str">
        <f>Resumo!B13</f>
        <v>MOVIMENTO DE TERRA</v>
      </c>
      <c r="C15" s="605">
        <f>Resumo!E13</f>
        <v>20112.72</v>
      </c>
      <c r="D15" s="606">
        <f>Resumo!F13</f>
        <v>7.4000000000000003E-3</v>
      </c>
      <c r="E15" s="611">
        <f t="shared" ref="E15:E18" si="2">$C15*F15/100</f>
        <v>16090.18</v>
      </c>
      <c r="F15" s="612">
        <v>80</v>
      </c>
      <c r="G15" s="611">
        <f t="shared" ref="G15:G16" si="3">$C15*H15/100</f>
        <v>4022.54</v>
      </c>
      <c r="H15" s="612">
        <v>20</v>
      </c>
      <c r="I15" s="611">
        <f>$C15*J15/100</f>
        <v>0</v>
      </c>
      <c r="J15" s="612"/>
      <c r="K15" s="611">
        <f t="shared" ref="K15:K18" si="4">$C15*L15/100</f>
        <v>0</v>
      </c>
      <c r="L15" s="612"/>
      <c r="M15" s="611">
        <f t="shared" ref="M15:M18" si="5">$C15*N15/100</f>
        <v>0</v>
      </c>
      <c r="N15" s="612"/>
      <c r="O15" s="611">
        <f t="shared" ref="O15:O18" si="6">$C15*P15/100</f>
        <v>0</v>
      </c>
      <c r="P15" s="620"/>
      <c r="Q15" s="611">
        <f>E15+G15+I15+K15+M15+O15</f>
        <v>20112.72</v>
      </c>
      <c r="R15" s="610">
        <f>F15+H15+J15+L15+N15+P15</f>
        <v>100</v>
      </c>
      <c r="T15" s="416">
        <f t="shared" si="1"/>
        <v>0</v>
      </c>
    </row>
    <row r="16" spans="1:20" s="384" customFormat="1" ht="23.25" customHeight="1" x14ac:dyDescent="0.2">
      <c r="A16" s="618" t="str">
        <f>Resumo!A14</f>
        <v>2.2</v>
      </c>
      <c r="B16" s="621" t="str">
        <f>Resumo!B14</f>
        <v>FORNECIMENTO E ASSENTAMENTO DE TUBOS</v>
      </c>
      <c r="C16" s="605">
        <f>Resumo!E14</f>
        <v>72157.820000000007</v>
      </c>
      <c r="D16" s="606">
        <f>Resumo!F14</f>
        <v>2.6700000000000002E-2</v>
      </c>
      <c r="E16" s="611">
        <f t="shared" si="2"/>
        <v>36078.910000000003</v>
      </c>
      <c r="F16" s="612">
        <v>50</v>
      </c>
      <c r="G16" s="611">
        <f t="shared" si="3"/>
        <v>36078.910000000003</v>
      </c>
      <c r="H16" s="612">
        <v>50</v>
      </c>
      <c r="I16" s="611">
        <f>$C16*J16/100</f>
        <v>0</v>
      </c>
      <c r="J16" s="612"/>
      <c r="K16" s="611">
        <f t="shared" si="4"/>
        <v>0</v>
      </c>
      <c r="L16" s="612"/>
      <c r="M16" s="611">
        <f t="shared" si="5"/>
        <v>0</v>
      </c>
      <c r="N16" s="612"/>
      <c r="O16" s="611">
        <f t="shared" si="6"/>
        <v>0</v>
      </c>
      <c r="P16" s="620"/>
      <c r="Q16" s="611">
        <f t="shared" ref="Q16:Q18" si="7">E16+G16+I16+K16+M16+O16</f>
        <v>72157.820000000007</v>
      </c>
      <c r="R16" s="610">
        <f t="shared" ref="R16:R18" si="8">F16+H16+J16+L16+N16+P16</f>
        <v>100</v>
      </c>
      <c r="T16" s="416">
        <f t="shared" si="1"/>
        <v>0</v>
      </c>
    </row>
    <row r="17" spans="1:20" s="384" customFormat="1" ht="23.25" customHeight="1" x14ac:dyDescent="0.2">
      <c r="A17" s="618" t="str">
        <f>Resumo!A15</f>
        <v>2.3</v>
      </c>
      <c r="B17" s="619" t="str">
        <f>Resumo!B15</f>
        <v>ELEMENTOS AUXILIARES</v>
      </c>
      <c r="C17" s="605">
        <f>Resumo!E15</f>
        <v>20433.46</v>
      </c>
      <c r="D17" s="606">
        <f>Resumo!F15</f>
        <v>7.4999999999999997E-3</v>
      </c>
      <c r="E17" s="611">
        <f t="shared" si="2"/>
        <v>0</v>
      </c>
      <c r="F17" s="612"/>
      <c r="G17" s="611">
        <f>$C17*H17/100</f>
        <v>10216.73</v>
      </c>
      <c r="H17" s="612">
        <v>50</v>
      </c>
      <c r="I17" s="611">
        <f t="shared" ref="I17" si="9">$C17*J17/100</f>
        <v>10216.73</v>
      </c>
      <c r="J17" s="612">
        <v>50</v>
      </c>
      <c r="K17" s="611">
        <f t="shared" ref="K17" si="10">$C17*L17/100</f>
        <v>0</v>
      </c>
      <c r="L17" s="612"/>
      <c r="M17" s="611">
        <f t="shared" ref="M17" si="11">$C17*N17/100</f>
        <v>0</v>
      </c>
      <c r="N17" s="612"/>
      <c r="O17" s="611">
        <f t="shared" si="6"/>
        <v>0</v>
      </c>
      <c r="P17" s="620"/>
      <c r="Q17" s="611">
        <f t="shared" si="7"/>
        <v>20433.46</v>
      </c>
      <c r="R17" s="610">
        <f t="shared" si="8"/>
        <v>100</v>
      </c>
      <c r="T17" s="416">
        <f t="shared" si="1"/>
        <v>0</v>
      </c>
    </row>
    <row r="18" spans="1:20" s="384" customFormat="1" ht="23.25" customHeight="1" x14ac:dyDescent="0.2">
      <c r="A18" s="618" t="str">
        <f>Resumo!A16</f>
        <v>2.4</v>
      </c>
      <c r="B18" s="619" t="str">
        <f>Resumo!B16</f>
        <v>SINALIZAÇÃO</v>
      </c>
      <c r="C18" s="605">
        <f>Resumo!E16</f>
        <v>1805.61</v>
      </c>
      <c r="D18" s="606">
        <f>Resumo!F16</f>
        <v>6.9999999999999999E-4</v>
      </c>
      <c r="E18" s="611">
        <f t="shared" si="2"/>
        <v>902.81</v>
      </c>
      <c r="F18" s="612">
        <v>50</v>
      </c>
      <c r="G18" s="611">
        <f>$C18*H18/100-0.01</f>
        <v>902.8</v>
      </c>
      <c r="H18" s="612">
        <v>50</v>
      </c>
      <c r="I18" s="611">
        <f>$C18*J18/100</f>
        <v>0</v>
      </c>
      <c r="J18" s="612"/>
      <c r="K18" s="611">
        <f t="shared" si="4"/>
        <v>0</v>
      </c>
      <c r="L18" s="612"/>
      <c r="M18" s="611">
        <f t="shared" si="5"/>
        <v>0</v>
      </c>
      <c r="N18" s="612"/>
      <c r="O18" s="611">
        <f t="shared" si="6"/>
        <v>0</v>
      </c>
      <c r="P18" s="620"/>
      <c r="Q18" s="611">
        <f t="shared" si="7"/>
        <v>1805.61</v>
      </c>
      <c r="R18" s="610">
        <f t="shared" si="8"/>
        <v>100</v>
      </c>
      <c r="T18" s="416">
        <f t="shared" si="1"/>
        <v>0</v>
      </c>
    </row>
    <row r="19" spans="1:20" s="348" customFormat="1" ht="23.25" customHeight="1" x14ac:dyDescent="0.2">
      <c r="A19" s="593"/>
      <c r="B19" s="616"/>
      <c r="C19" s="605"/>
      <c r="D19" s="606"/>
      <c r="E19" s="611"/>
      <c r="F19" s="612"/>
      <c r="G19" s="611"/>
      <c r="H19" s="622"/>
      <c r="I19" s="611"/>
      <c r="J19" s="612"/>
      <c r="K19" s="611"/>
      <c r="L19" s="612"/>
      <c r="M19" s="611"/>
      <c r="N19" s="612"/>
      <c r="O19" s="611"/>
      <c r="P19" s="612"/>
      <c r="Q19" s="611"/>
      <c r="R19" s="610"/>
      <c r="T19" s="342">
        <f t="shared" si="1"/>
        <v>0</v>
      </c>
    </row>
    <row r="20" spans="1:20" s="302" customFormat="1" ht="23.25" customHeight="1" x14ac:dyDescent="0.2">
      <c r="A20" s="589">
        <f>Resumo!A18</f>
        <v>3</v>
      </c>
      <c r="B20" s="604" t="str">
        <f>Resumo!B18</f>
        <v>PAVIMENTAÇÃO EM CBUQ</v>
      </c>
      <c r="C20" s="605"/>
      <c r="D20" s="606"/>
      <c r="E20" s="607"/>
      <c r="F20" s="608"/>
      <c r="G20" s="607"/>
      <c r="H20" s="613"/>
      <c r="I20" s="607"/>
      <c r="J20" s="608"/>
      <c r="K20" s="607"/>
      <c r="L20" s="608"/>
      <c r="M20" s="607"/>
      <c r="N20" s="608"/>
      <c r="O20" s="607"/>
      <c r="P20" s="608"/>
      <c r="Q20" s="607"/>
      <c r="R20" s="610"/>
      <c r="T20" s="342">
        <f t="shared" si="1"/>
        <v>0</v>
      </c>
    </row>
    <row r="21" spans="1:20" s="384" customFormat="1" ht="23.25" customHeight="1" x14ac:dyDescent="0.2">
      <c r="A21" s="618" t="str">
        <f>Resumo!A19</f>
        <v>3.1</v>
      </c>
      <c r="B21" s="623" t="str">
        <f>Resumo!B19</f>
        <v>TERRAPLENAGEM</v>
      </c>
      <c r="C21" s="605">
        <f>Resumo!E19</f>
        <v>61855.42</v>
      </c>
      <c r="D21" s="606">
        <f>Resumo!F19</f>
        <v>2.29E-2</v>
      </c>
      <c r="E21" s="611">
        <f t="shared" ref="E21:E24" si="12">$C21*F21/100</f>
        <v>30927.71</v>
      </c>
      <c r="F21" s="612">
        <v>50</v>
      </c>
      <c r="G21" s="611">
        <f t="shared" ref="G21:G24" si="13">$C21*H21/100</f>
        <v>30927.71</v>
      </c>
      <c r="H21" s="612">
        <v>50</v>
      </c>
      <c r="I21" s="611">
        <f t="shared" ref="I21:I24" si="14">$C21*J21/100</f>
        <v>0</v>
      </c>
      <c r="J21" s="612"/>
      <c r="K21" s="611">
        <f>$C21*L21/100</f>
        <v>0</v>
      </c>
      <c r="L21" s="612"/>
      <c r="M21" s="611">
        <f t="shared" ref="M21:M24" si="15">$C21*N21/100</f>
        <v>0</v>
      </c>
      <c r="N21" s="612"/>
      <c r="O21" s="611">
        <f t="shared" ref="O21:O24" si="16">$C21*P21/100</f>
        <v>0</v>
      </c>
      <c r="P21" s="620"/>
      <c r="Q21" s="611">
        <f t="shared" ref="Q21:Q24" si="17">E21+G21+I21+K21+M21+O21</f>
        <v>61855.42</v>
      </c>
      <c r="R21" s="610">
        <f t="shared" ref="R21:R24" si="18">F21+H21+J21+L21+N21+P21</f>
        <v>100</v>
      </c>
      <c r="T21" s="416">
        <f t="shared" si="1"/>
        <v>0</v>
      </c>
    </row>
    <row r="22" spans="1:20" s="384" customFormat="1" ht="23.25" customHeight="1" x14ac:dyDescent="0.2">
      <c r="A22" s="618" t="str">
        <f>Resumo!A20</f>
        <v>3.2</v>
      </c>
      <c r="B22" s="623" t="str">
        <f>Resumo!B20</f>
        <v>PAVIMENTAÇÃO</v>
      </c>
      <c r="C22" s="605">
        <f>Resumo!E20</f>
        <v>1897640.16</v>
      </c>
      <c r="D22" s="606">
        <f>Resumo!F20</f>
        <v>0.70109999999999995</v>
      </c>
      <c r="E22" s="611">
        <f t="shared" si="12"/>
        <v>569292.05000000005</v>
      </c>
      <c r="F22" s="612">
        <v>30</v>
      </c>
      <c r="G22" s="611">
        <f t="shared" si="13"/>
        <v>948820.08</v>
      </c>
      <c r="H22" s="612">
        <v>50</v>
      </c>
      <c r="I22" s="611">
        <f t="shared" si="14"/>
        <v>379528.03</v>
      </c>
      <c r="J22" s="612">
        <v>20</v>
      </c>
      <c r="K22" s="611">
        <f t="shared" ref="K22:K24" si="19">$C22*L22/100</f>
        <v>0</v>
      </c>
      <c r="L22" s="612"/>
      <c r="M22" s="611">
        <f>$C22*N22/100</f>
        <v>0</v>
      </c>
      <c r="N22" s="612"/>
      <c r="O22" s="611">
        <f t="shared" si="16"/>
        <v>0</v>
      </c>
      <c r="P22" s="620"/>
      <c r="Q22" s="611">
        <f t="shared" si="17"/>
        <v>1897640.16</v>
      </c>
      <c r="R22" s="610">
        <f t="shared" si="18"/>
        <v>100</v>
      </c>
      <c r="T22" s="416">
        <f t="shared" si="1"/>
        <v>0</v>
      </c>
    </row>
    <row r="23" spans="1:20" s="877" customFormat="1" ht="23.25" customHeight="1" x14ac:dyDescent="0.2">
      <c r="A23" s="875" t="str">
        <f>Resumo!A21</f>
        <v>3.3</v>
      </c>
      <c r="B23" s="621" t="str">
        <f>Resumo!B21</f>
        <v>OBRAS COMPLEMENTARES</v>
      </c>
      <c r="C23" s="876">
        <f>Resumo!E21</f>
        <v>433399.93</v>
      </c>
      <c r="D23" s="606">
        <f>Resumo!F21</f>
        <v>0.16009999999999999</v>
      </c>
      <c r="E23" s="614">
        <f t="shared" si="12"/>
        <v>0</v>
      </c>
      <c r="F23" s="612"/>
      <c r="G23" s="614">
        <f t="shared" si="13"/>
        <v>0</v>
      </c>
      <c r="H23" s="612"/>
      <c r="I23" s="614">
        <f t="shared" si="14"/>
        <v>216699.97</v>
      </c>
      <c r="J23" s="612">
        <v>50</v>
      </c>
      <c r="K23" s="614">
        <f>$C23*L23/100-0.01</f>
        <v>216699.96</v>
      </c>
      <c r="L23" s="612">
        <v>50</v>
      </c>
      <c r="M23" s="614">
        <f t="shared" si="15"/>
        <v>0</v>
      </c>
      <c r="N23" s="612"/>
      <c r="O23" s="614">
        <f t="shared" si="16"/>
        <v>0</v>
      </c>
      <c r="P23" s="620"/>
      <c r="Q23" s="611">
        <f t="shared" si="17"/>
        <v>433399.93</v>
      </c>
      <c r="R23" s="610">
        <f t="shared" si="18"/>
        <v>100</v>
      </c>
      <c r="T23" s="878">
        <f t="shared" si="1"/>
        <v>0</v>
      </c>
    </row>
    <row r="24" spans="1:20" s="384" customFormat="1" ht="23.25" customHeight="1" x14ac:dyDescent="0.2">
      <c r="A24" s="618" t="str">
        <f>Resumo!A22</f>
        <v>3.4</v>
      </c>
      <c r="B24" s="623" t="str">
        <f>Resumo!B22</f>
        <v>SINALIZAÇÃO VIÁRIA</v>
      </c>
      <c r="C24" s="605">
        <f>Resumo!E22</f>
        <v>112349.08</v>
      </c>
      <c r="D24" s="606">
        <f>Resumo!F22</f>
        <v>4.1500000000000002E-2</v>
      </c>
      <c r="E24" s="611">
        <f t="shared" si="12"/>
        <v>0</v>
      </c>
      <c r="F24" s="612"/>
      <c r="G24" s="611">
        <f t="shared" si="13"/>
        <v>0</v>
      </c>
      <c r="H24" s="612"/>
      <c r="I24" s="611">
        <f t="shared" si="14"/>
        <v>0</v>
      </c>
      <c r="J24" s="612"/>
      <c r="K24" s="611">
        <f t="shared" si="19"/>
        <v>0</v>
      </c>
      <c r="L24" s="612"/>
      <c r="M24" s="611">
        <f t="shared" si="15"/>
        <v>22469.82</v>
      </c>
      <c r="N24" s="612">
        <v>20</v>
      </c>
      <c r="O24" s="611">
        <f t="shared" si="16"/>
        <v>89879.26</v>
      </c>
      <c r="P24" s="620">
        <v>80</v>
      </c>
      <c r="Q24" s="611">
        <f t="shared" si="17"/>
        <v>112349.08</v>
      </c>
      <c r="R24" s="610">
        <f t="shared" si="18"/>
        <v>100</v>
      </c>
      <c r="T24" s="416">
        <f t="shared" si="1"/>
        <v>0</v>
      </c>
    </row>
    <row r="25" spans="1:20" s="348" customFormat="1" ht="23.25" customHeight="1" x14ac:dyDescent="0.2">
      <c r="A25" s="593"/>
      <c r="B25" s="624"/>
      <c r="C25" s="611"/>
      <c r="D25" s="625"/>
      <c r="E25" s="611"/>
      <c r="F25" s="612"/>
      <c r="G25" s="611"/>
      <c r="H25" s="622"/>
      <c r="I25" s="611"/>
      <c r="J25" s="622"/>
      <c r="K25" s="611"/>
      <c r="L25" s="622"/>
      <c r="M25" s="611"/>
      <c r="N25" s="622"/>
      <c r="O25" s="611"/>
      <c r="P25" s="622"/>
      <c r="Q25" s="611"/>
      <c r="R25" s="610"/>
    </row>
    <row r="26" spans="1:20" s="348" customFormat="1" ht="29.25" customHeight="1" x14ac:dyDescent="0.2">
      <c r="A26" s="1413" t="s">
        <v>17</v>
      </c>
      <c r="B26" s="1414"/>
      <c r="C26" s="626">
        <f>SUM(C12:C24)</f>
        <v>2706527.72</v>
      </c>
      <c r="D26" s="627">
        <f>SUM(D12:D24)</f>
        <v>1</v>
      </c>
      <c r="E26" s="628">
        <f>SUM(E12:E24)</f>
        <v>670646.36</v>
      </c>
      <c r="F26" s="913">
        <f>E26/$C$26</f>
        <v>0.24779999999999999</v>
      </c>
      <c r="G26" s="628">
        <f>SUM(G12:G24)</f>
        <v>1048323.47</v>
      </c>
      <c r="H26" s="913">
        <f>G26/$C$26</f>
        <v>0.38729999999999998</v>
      </c>
      <c r="I26" s="628">
        <f>SUM(I12:I24)</f>
        <v>619460.76</v>
      </c>
      <c r="J26" s="913">
        <f>I26/$C$26</f>
        <v>0.22889999999999999</v>
      </c>
      <c r="K26" s="628">
        <f>SUM(K12:K24)</f>
        <v>229715.99</v>
      </c>
      <c r="L26" s="913">
        <f>K26/$C$26</f>
        <v>8.4900000000000003E-2</v>
      </c>
      <c r="M26" s="628">
        <f>SUM(M12:M24)</f>
        <v>35485.85</v>
      </c>
      <c r="N26" s="913">
        <f>M26/$C$26</f>
        <v>1.3100000000000001E-2</v>
      </c>
      <c r="O26" s="628">
        <f>SUM(O12:O24)</f>
        <v>102895.29</v>
      </c>
      <c r="P26" s="912">
        <f>O26/$C$26</f>
        <v>3.7999999999999999E-2</v>
      </c>
      <c r="Q26" s="628">
        <f>Q24+Q23+Q22+Q21+Q12+Q15+Q16+Q17+Q18</f>
        <v>2706527.72</v>
      </c>
      <c r="R26" s="629">
        <f>Q26/$C$26</f>
        <v>1</v>
      </c>
    </row>
    <row r="27" spans="1:20" s="348" customFormat="1" ht="29.25" customHeight="1" thickBot="1" x14ac:dyDescent="0.25">
      <c r="A27" s="1417" t="s">
        <v>18</v>
      </c>
      <c r="B27" s="1418"/>
      <c r="C27" s="630"/>
      <c r="D27" s="631"/>
      <c r="E27" s="632">
        <f>SUM(E26)</f>
        <v>670646.36</v>
      </c>
      <c r="F27" s="914">
        <f>E27/C26</f>
        <v>0.24779999999999999</v>
      </c>
      <c r="G27" s="632">
        <f t="shared" ref="G27:M27" si="20">E27+G26</f>
        <v>1718969.83</v>
      </c>
      <c r="H27" s="914">
        <f t="shared" si="20"/>
        <v>0.6351</v>
      </c>
      <c r="I27" s="632">
        <f t="shared" si="20"/>
        <v>2338430.59</v>
      </c>
      <c r="J27" s="914">
        <f t="shared" si="20"/>
        <v>0.86399999999999999</v>
      </c>
      <c r="K27" s="632">
        <f t="shared" si="20"/>
        <v>2568146.58</v>
      </c>
      <c r="L27" s="914">
        <f t="shared" si="20"/>
        <v>0.94889999999999997</v>
      </c>
      <c r="M27" s="632">
        <f t="shared" si="20"/>
        <v>2603632.4300000002</v>
      </c>
      <c r="N27" s="914">
        <f t="shared" ref="N27" si="21">L27+N26</f>
        <v>0.96199999999999997</v>
      </c>
      <c r="O27" s="632">
        <f>M27+O26</f>
        <v>2706527.72</v>
      </c>
      <c r="P27" s="631">
        <f>N27+P26</f>
        <v>1</v>
      </c>
      <c r="Q27" s="632"/>
      <c r="R27" s="633"/>
    </row>
    <row r="29" spans="1:20" x14ac:dyDescent="0.2">
      <c r="B29" s="894" t="str">
        <f>Terrap.!B26</f>
        <v>Robson Darcio Sousa</v>
      </c>
    </row>
    <row r="30" spans="1:20" x14ac:dyDescent="0.2">
      <c r="B30" s="894" t="str">
        <f>Terrap.!B27</f>
        <v>ENGº CIVIL</v>
      </c>
    </row>
    <row r="31" spans="1:20" x14ac:dyDescent="0.2">
      <c r="B31" s="894" t="str">
        <f>Terrap.!B28</f>
        <v>Crea: 120.263.916-0</v>
      </c>
      <c r="C31" s="354"/>
    </row>
    <row r="32" spans="1:20" x14ac:dyDescent="0.2">
      <c r="E32" s="455"/>
      <c r="G32" s="455"/>
      <c r="I32" s="455"/>
      <c r="K32" s="455"/>
      <c r="M32" s="455"/>
    </row>
  </sheetData>
  <mergeCells count="18">
    <mergeCell ref="A27:B27"/>
    <mergeCell ref="A8:A10"/>
    <mergeCell ref="B8:B10"/>
    <mergeCell ref="C8:D9"/>
    <mergeCell ref="E8:R8"/>
    <mergeCell ref="E9:F9"/>
    <mergeCell ref="G9:H9"/>
    <mergeCell ref="I9:J9"/>
    <mergeCell ref="K9:L9"/>
    <mergeCell ref="M9:N9"/>
    <mergeCell ref="O9:P9"/>
    <mergeCell ref="Q9:R9"/>
    <mergeCell ref="A1:R1"/>
    <mergeCell ref="A2:R2"/>
    <mergeCell ref="P3:R6"/>
    <mergeCell ref="M5:O5"/>
    <mergeCell ref="A26:B26"/>
    <mergeCell ref="A7:D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O101"/>
  <sheetViews>
    <sheetView view="pageBreakPreview" zoomScale="85" zoomScaleSheetLayoutView="85" workbookViewId="0">
      <selection activeCell="D22" sqref="D22"/>
    </sheetView>
  </sheetViews>
  <sheetFormatPr defaultColWidth="9.140625" defaultRowHeight="12.75" x14ac:dyDescent="0.2"/>
  <cols>
    <col min="1" max="1" width="12.5703125" style="108" customWidth="1"/>
    <col min="2" max="2" width="29.85546875" style="108" customWidth="1"/>
    <col min="3" max="3" width="9.42578125" style="108" customWidth="1"/>
    <col min="4" max="4" width="13.5703125" style="108" customWidth="1"/>
    <col min="5" max="5" width="8.85546875" style="108" customWidth="1"/>
    <col min="6" max="6" width="9.140625" style="108" customWidth="1"/>
    <col min="7" max="7" width="11.85546875" style="108" customWidth="1"/>
    <col min="8" max="8" width="9" style="108" customWidth="1"/>
    <col min="9" max="9" width="8.42578125" style="108" customWidth="1"/>
    <col min="10" max="10" width="11.28515625" style="108" customWidth="1"/>
    <col min="11" max="11" width="11.7109375" style="108" customWidth="1"/>
    <col min="12" max="12" width="10.7109375" style="108" customWidth="1"/>
    <col min="13" max="16384" width="9.140625" style="108"/>
  </cols>
  <sheetData>
    <row r="1" spans="1:15" ht="23.25" customHeight="1" x14ac:dyDescent="0.2">
      <c r="A1" s="1047" t="str">
        <f>Terrap.!A1</f>
        <v>ESTADO DE MATO GROSSO</v>
      </c>
      <c r="B1" s="1048"/>
      <c r="C1" s="1048"/>
      <c r="D1" s="1048"/>
      <c r="E1" s="1048"/>
      <c r="F1" s="1048"/>
      <c r="G1" s="1048"/>
      <c r="H1" s="1048"/>
      <c r="I1" s="1048"/>
      <c r="J1" s="1048"/>
      <c r="K1" s="1048"/>
      <c r="L1" s="1049"/>
    </row>
    <row r="2" spans="1:15" ht="23.25" customHeight="1" x14ac:dyDescent="0.2">
      <c r="A2" s="1050" t="str">
        <f>Terrap.!A2</f>
        <v xml:space="preserve">PREFEITURA MUNICIPAL DE BARRA DO BUGRES 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1052"/>
    </row>
    <row r="3" spans="1:15" s="386" customFormat="1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3"/>
      <c r="J3" s="1053"/>
      <c r="K3" s="1053"/>
      <c r="L3" s="1054"/>
    </row>
    <row r="4" spans="1:15" s="386" customFormat="1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3"/>
      <c r="J4" s="1057" t="str">
        <f>Terrap.!I3</f>
        <v>SINAPI - JULHO / 2020    DESONERADO                                                                                                                           SICRO 10/2019</v>
      </c>
      <c r="K4" s="1057"/>
      <c r="L4" s="1058"/>
    </row>
    <row r="5" spans="1:15" s="386" customFormat="1" ht="15.75" customHeight="1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1053"/>
      <c r="F5" s="387" t="s">
        <v>362</v>
      </c>
      <c r="G5" s="1055" t="str">
        <f>Terrap.!F5</f>
        <v>AGOSTO 2020</v>
      </c>
      <c r="H5" s="1055"/>
      <c r="I5" s="1055"/>
      <c r="J5" s="1057"/>
      <c r="K5" s="1057"/>
      <c r="L5" s="1058"/>
    </row>
    <row r="6" spans="1:15" s="386" customFormat="1" ht="24.75" customHeight="1" thickBot="1" x14ac:dyDescent="0.25">
      <c r="A6" s="388" t="s">
        <v>59</v>
      </c>
      <c r="B6" s="1056">
        <f>Pavim.!B6</f>
        <v>31131.72</v>
      </c>
      <c r="C6" s="1056"/>
      <c r="D6" s="1056"/>
      <c r="E6" s="1056"/>
      <c r="F6" s="389" t="s">
        <v>60</v>
      </c>
      <c r="G6" s="390">
        <f>Terrap.!F6</f>
        <v>0.25640000000000002</v>
      </c>
      <c r="H6" s="390"/>
      <c r="I6" s="389" t="s">
        <v>61</v>
      </c>
      <c r="J6" s="1059"/>
      <c r="K6" s="1059"/>
      <c r="L6" s="1060"/>
    </row>
    <row r="7" spans="1:15" ht="28.5" customHeight="1" thickBot="1" x14ac:dyDescent="0.25">
      <c r="A7" s="1044" t="s">
        <v>301</v>
      </c>
      <c r="B7" s="1045"/>
      <c r="C7" s="1045"/>
      <c r="D7" s="1045"/>
      <c r="E7" s="1045"/>
      <c r="F7" s="1045"/>
      <c r="G7" s="1045"/>
      <c r="H7" s="1045"/>
      <c r="I7" s="1045"/>
      <c r="J7" s="1045"/>
      <c r="K7" s="1045"/>
      <c r="L7" s="1046"/>
    </row>
    <row r="8" spans="1:15" ht="28.5" customHeight="1" x14ac:dyDescent="0.2">
      <c r="A8" s="702" t="s">
        <v>0</v>
      </c>
      <c r="B8" s="703" t="s">
        <v>137</v>
      </c>
      <c r="C8" s="703" t="s">
        <v>2</v>
      </c>
      <c r="D8" s="703" t="s">
        <v>3</v>
      </c>
      <c r="E8" s="703" t="s">
        <v>140</v>
      </c>
      <c r="F8" s="703" t="s">
        <v>139</v>
      </c>
      <c r="G8" s="703" t="s">
        <v>138</v>
      </c>
      <c r="H8" s="703"/>
      <c r="I8" s="703"/>
      <c r="J8" s="704"/>
      <c r="K8" s="705" t="s">
        <v>172</v>
      </c>
      <c r="L8" s="706" t="s">
        <v>13</v>
      </c>
    </row>
    <row r="9" spans="1:15" ht="28.5" customHeight="1" x14ac:dyDescent="0.2">
      <c r="A9" s="675" t="s">
        <v>75</v>
      </c>
      <c r="B9" s="1082" t="s">
        <v>456</v>
      </c>
      <c r="C9" s="1082"/>
      <c r="D9" s="1082"/>
      <c r="E9" s="1082"/>
      <c r="F9" s="1082"/>
      <c r="G9" s="1082"/>
      <c r="H9" s="1082"/>
      <c r="I9" s="1082"/>
      <c r="J9" s="674" t="s">
        <v>31</v>
      </c>
      <c r="K9" s="1083">
        <f>SUM(L10:L22)</f>
        <v>567.01499999999999</v>
      </c>
      <c r="L9" s="1084"/>
      <c r="N9" s="108" t="s">
        <v>453</v>
      </c>
      <c r="O9" s="108" t="s">
        <v>454</v>
      </c>
    </row>
    <row r="10" spans="1:15" ht="15" x14ac:dyDescent="0.2">
      <c r="A10" s="443" t="s">
        <v>23</v>
      </c>
      <c r="B10" s="707" t="s">
        <v>76</v>
      </c>
      <c r="C10" s="708" t="s">
        <v>5</v>
      </c>
      <c r="D10" s="709">
        <f>'Ruas Ben'!C16</f>
        <v>60</v>
      </c>
      <c r="E10" s="709">
        <v>1</v>
      </c>
      <c r="F10" s="710">
        <v>1.5</v>
      </c>
      <c r="G10" s="710"/>
      <c r="H10" s="710"/>
      <c r="I10" s="710"/>
      <c r="J10" s="710"/>
      <c r="K10" s="710"/>
      <c r="L10" s="711">
        <f>TRUNC(D10*E10*F10,3)</f>
        <v>90</v>
      </c>
      <c r="N10" s="108">
        <v>1.5</v>
      </c>
    </row>
    <row r="11" spans="1:15" ht="15" x14ac:dyDescent="0.2">
      <c r="A11" s="443" t="s">
        <v>44</v>
      </c>
      <c r="B11" s="707" t="s">
        <v>77</v>
      </c>
      <c r="C11" s="708" t="s">
        <v>5</v>
      </c>
      <c r="D11" s="709">
        <f>'Ruas Ben'!D16</f>
        <v>75</v>
      </c>
      <c r="E11" s="710">
        <v>1.2</v>
      </c>
      <c r="F11" s="710">
        <v>1.5</v>
      </c>
      <c r="G11" s="710"/>
      <c r="H11" s="710"/>
      <c r="I11" s="710"/>
      <c r="J11" s="710"/>
      <c r="K11" s="710"/>
      <c r="L11" s="711">
        <f>TRUNC(D11*E11*F11,3)</f>
        <v>135</v>
      </c>
      <c r="N11" s="108">
        <v>1.7</v>
      </c>
    </row>
    <row r="12" spans="1:15" ht="15" x14ac:dyDescent="0.2">
      <c r="A12" s="443" t="s">
        <v>45</v>
      </c>
      <c r="B12" s="712" t="s">
        <v>81</v>
      </c>
      <c r="C12" s="672" t="s">
        <v>5</v>
      </c>
      <c r="D12" s="709">
        <f>'Ruas Ben'!E16</f>
        <v>143</v>
      </c>
      <c r="E12" s="713">
        <v>1.4</v>
      </c>
      <c r="F12" s="710">
        <v>1.5</v>
      </c>
      <c r="G12" s="710"/>
      <c r="H12" s="710"/>
      <c r="I12" s="710"/>
      <c r="J12" s="710"/>
      <c r="K12" s="710"/>
      <c r="L12" s="711">
        <f t="shared" ref="L12:L15" si="0">TRUNC(D12*E12*F12,3)</f>
        <v>300.3</v>
      </c>
      <c r="N12" s="108">
        <v>1.9</v>
      </c>
    </row>
    <row r="13" spans="1:15" ht="15" x14ac:dyDescent="0.2">
      <c r="A13" s="443" t="s">
        <v>111</v>
      </c>
      <c r="B13" s="712" t="s">
        <v>82</v>
      </c>
      <c r="C13" s="672" t="s">
        <v>5</v>
      </c>
      <c r="D13" s="709">
        <f>'Ruas Ben'!F16</f>
        <v>0</v>
      </c>
      <c r="E13" s="713">
        <v>1.6</v>
      </c>
      <c r="F13" s="710">
        <v>1.5</v>
      </c>
      <c r="G13" s="710"/>
      <c r="H13" s="710"/>
      <c r="I13" s="710"/>
      <c r="J13" s="710"/>
      <c r="K13" s="710"/>
      <c r="L13" s="711">
        <f t="shared" si="0"/>
        <v>0</v>
      </c>
      <c r="N13" s="108">
        <v>2.1</v>
      </c>
    </row>
    <row r="14" spans="1:15" ht="15" x14ac:dyDescent="0.2">
      <c r="A14" s="443" t="s">
        <v>233</v>
      </c>
      <c r="B14" s="707" t="s">
        <v>83</v>
      </c>
      <c r="C14" s="708" t="s">
        <v>5</v>
      </c>
      <c r="D14" s="709">
        <f>'Ruas Ben'!G16</f>
        <v>0</v>
      </c>
      <c r="E14" s="709">
        <v>1.8</v>
      </c>
      <c r="F14" s="710">
        <v>1.5</v>
      </c>
      <c r="G14" s="710"/>
      <c r="H14" s="710"/>
      <c r="I14" s="710"/>
      <c r="J14" s="710"/>
      <c r="K14" s="710"/>
      <c r="L14" s="711">
        <f t="shared" si="0"/>
        <v>0</v>
      </c>
      <c r="N14" s="108">
        <v>2.5</v>
      </c>
    </row>
    <row r="15" spans="1:15" ht="15" x14ac:dyDescent="0.2">
      <c r="A15" s="443" t="s">
        <v>418</v>
      </c>
      <c r="B15" s="714" t="s">
        <v>84</v>
      </c>
      <c r="C15" s="715" t="s">
        <v>5</v>
      </c>
      <c r="D15" s="709">
        <f>'Ruas Ben'!H16</f>
        <v>0</v>
      </c>
      <c r="E15" s="710">
        <v>2.1</v>
      </c>
      <c r="F15" s="710">
        <v>1.5</v>
      </c>
      <c r="G15" s="710"/>
      <c r="H15" s="710"/>
      <c r="I15" s="710"/>
      <c r="J15" s="710"/>
      <c r="K15" s="710"/>
      <c r="L15" s="711">
        <f t="shared" si="0"/>
        <v>0</v>
      </c>
      <c r="N15" s="108">
        <v>2.8</v>
      </c>
    </row>
    <row r="16" spans="1:15" ht="15" x14ac:dyDescent="0.2">
      <c r="A16" s="443" t="s">
        <v>419</v>
      </c>
      <c r="B16" s="714" t="s">
        <v>85</v>
      </c>
      <c r="C16" s="715" t="s">
        <v>79</v>
      </c>
      <c r="D16" s="709">
        <f>'Ruas Ben'!I16</f>
        <v>2</v>
      </c>
      <c r="E16" s="710">
        <v>1.9</v>
      </c>
      <c r="F16" s="710">
        <v>1.5</v>
      </c>
      <c r="G16" s="710">
        <v>1.9</v>
      </c>
      <c r="H16" s="710"/>
      <c r="I16" s="710"/>
      <c r="J16" s="710"/>
      <c r="K16" s="710"/>
      <c r="L16" s="711">
        <f>TRUNC(D16*E16*F16*G16,3)</f>
        <v>10.83</v>
      </c>
      <c r="N16" s="108">
        <v>1.5</v>
      </c>
    </row>
    <row r="17" spans="1:15" ht="15" x14ac:dyDescent="0.2">
      <c r="A17" s="443" t="s">
        <v>420</v>
      </c>
      <c r="B17" s="714" t="s">
        <v>482</v>
      </c>
      <c r="C17" s="715" t="s">
        <v>79</v>
      </c>
      <c r="D17" s="742">
        <f>'Ruas Ben'!N16</f>
        <v>0</v>
      </c>
      <c r="E17" s="710">
        <f>E67+1</f>
        <v>2.7</v>
      </c>
      <c r="F17" s="710">
        <v>1.5</v>
      </c>
      <c r="G17" s="710">
        <f>1.9+1</f>
        <v>2.9</v>
      </c>
      <c r="H17" s="710"/>
      <c r="I17" s="710"/>
      <c r="J17" s="710"/>
      <c r="K17" s="710"/>
      <c r="L17" s="711">
        <f t="shared" ref="L17" si="1">TRUNC(D17*E17*F17*G17,3)</f>
        <v>0</v>
      </c>
      <c r="N17" s="108">
        <v>1.5</v>
      </c>
      <c r="O17" s="108">
        <v>1</v>
      </c>
    </row>
    <row r="18" spans="1:15" ht="15" x14ac:dyDescent="0.2">
      <c r="A18" s="443" t="s">
        <v>421</v>
      </c>
      <c r="B18" s="714" t="s">
        <v>238</v>
      </c>
      <c r="C18" s="715" t="s">
        <v>79</v>
      </c>
      <c r="D18" s="709">
        <f>'Ruas Ben'!M16</f>
        <v>0</v>
      </c>
      <c r="E18" s="710">
        <f>E68+1</f>
        <v>2.5</v>
      </c>
      <c r="F18" s="710">
        <v>1.5</v>
      </c>
      <c r="G18" s="710">
        <f>1.9+1</f>
        <v>2.9</v>
      </c>
      <c r="H18" s="710"/>
      <c r="I18" s="710"/>
      <c r="J18" s="710"/>
      <c r="K18" s="710"/>
      <c r="L18" s="711">
        <f t="shared" ref="L18:L21" si="2">TRUNC(D18*E18*F18*G18,3)</f>
        <v>0</v>
      </c>
      <c r="N18" s="108">
        <v>1.3</v>
      </c>
      <c r="O18" s="108">
        <v>1</v>
      </c>
    </row>
    <row r="19" spans="1:15" ht="15" x14ac:dyDescent="0.2">
      <c r="A19" s="443" t="s">
        <v>422</v>
      </c>
      <c r="B19" s="714" t="s">
        <v>178</v>
      </c>
      <c r="C19" s="715" t="s">
        <v>79</v>
      </c>
      <c r="D19" s="709">
        <f>'Ruas Ben'!L16</f>
        <v>2</v>
      </c>
      <c r="E19" s="710">
        <f t="shared" ref="E19:E21" si="3">E69+1</f>
        <v>2.4</v>
      </c>
      <c r="F19" s="710">
        <v>1.5</v>
      </c>
      <c r="G19" s="710">
        <f t="shared" ref="G19:G21" si="4">1.9+1</f>
        <v>2.9</v>
      </c>
      <c r="H19" s="710"/>
      <c r="I19" s="710"/>
      <c r="J19" s="710"/>
      <c r="K19" s="710"/>
      <c r="L19" s="711">
        <f t="shared" si="2"/>
        <v>20.88</v>
      </c>
      <c r="N19" s="108">
        <v>1</v>
      </c>
      <c r="O19" s="108">
        <v>1</v>
      </c>
    </row>
    <row r="20" spans="1:15" ht="15" x14ac:dyDescent="0.2">
      <c r="A20" s="443" t="s">
        <v>423</v>
      </c>
      <c r="B20" s="714" t="s">
        <v>179</v>
      </c>
      <c r="C20" s="715" t="s">
        <v>79</v>
      </c>
      <c r="D20" s="709">
        <f>'Ruas Ben'!K16</f>
        <v>1</v>
      </c>
      <c r="E20" s="710">
        <f t="shared" si="3"/>
        <v>2.2999999999999998</v>
      </c>
      <c r="F20" s="710">
        <v>1.5</v>
      </c>
      <c r="G20" s="710">
        <f t="shared" si="4"/>
        <v>2.9</v>
      </c>
      <c r="H20" s="710"/>
      <c r="I20" s="710"/>
      <c r="J20" s="710"/>
      <c r="K20" s="710"/>
      <c r="L20" s="711">
        <f t="shared" si="2"/>
        <v>10.005000000000001</v>
      </c>
      <c r="N20" s="108">
        <v>0.8</v>
      </c>
      <c r="O20" s="108">
        <v>1</v>
      </c>
    </row>
    <row r="21" spans="1:15" ht="15" x14ac:dyDescent="0.2">
      <c r="A21" s="443" t="s">
        <v>424</v>
      </c>
      <c r="B21" s="714" t="s">
        <v>173</v>
      </c>
      <c r="C21" s="715" t="s">
        <v>79</v>
      </c>
      <c r="D21" s="709">
        <f>'Ruas Ben'!P16</f>
        <v>0</v>
      </c>
      <c r="E21" s="710">
        <f t="shared" si="3"/>
        <v>2.5</v>
      </c>
      <c r="F21" s="710">
        <v>1.5</v>
      </c>
      <c r="G21" s="710">
        <f t="shared" si="4"/>
        <v>2.9</v>
      </c>
      <c r="H21" s="710"/>
      <c r="I21" s="710"/>
      <c r="J21" s="710"/>
      <c r="K21" s="710"/>
      <c r="L21" s="711">
        <f t="shared" si="2"/>
        <v>0</v>
      </c>
      <c r="N21" s="108">
        <v>1.5</v>
      </c>
      <c r="O21" s="108">
        <v>1</v>
      </c>
    </row>
    <row r="22" spans="1:15" ht="15" x14ac:dyDescent="0.2">
      <c r="A22" s="443" t="s">
        <v>481</v>
      </c>
      <c r="B22" s="707" t="s">
        <v>78</v>
      </c>
      <c r="C22" s="708" t="s">
        <v>79</v>
      </c>
      <c r="D22" s="709">
        <f>'Ruas Ben'!Q16</f>
        <v>0</v>
      </c>
      <c r="E22" s="710">
        <v>2.2000000000000002</v>
      </c>
      <c r="F22" s="710">
        <v>0.35</v>
      </c>
      <c r="G22" s="710">
        <v>4.8</v>
      </c>
      <c r="H22" s="710"/>
      <c r="I22" s="710"/>
      <c r="J22" s="710"/>
      <c r="K22" s="710"/>
      <c r="L22" s="711">
        <f>TRUNC(D22*E22*F22*G22,3)</f>
        <v>0</v>
      </c>
      <c r="N22" s="108">
        <v>0.35</v>
      </c>
    </row>
    <row r="23" spans="1:15" ht="28.5" customHeight="1" x14ac:dyDescent="0.2">
      <c r="A23" s="716" t="s">
        <v>80</v>
      </c>
      <c r="B23" s="1085" t="s">
        <v>455</v>
      </c>
      <c r="C23" s="1085"/>
      <c r="D23" s="1085"/>
      <c r="E23" s="1085"/>
      <c r="F23" s="1085"/>
      <c r="G23" s="1085"/>
      <c r="H23" s="1085"/>
      <c r="I23" s="1085"/>
      <c r="J23" s="674" t="s">
        <v>31</v>
      </c>
      <c r="K23" s="1083">
        <f>SUM(L24:L36)</f>
        <v>107.041</v>
      </c>
      <c r="L23" s="1084"/>
    </row>
    <row r="24" spans="1:15" ht="15" x14ac:dyDescent="0.2">
      <c r="A24" s="717" t="s">
        <v>24</v>
      </c>
      <c r="B24" s="707" t="str">
        <f t="shared" ref="B24:E36" si="5">B10</f>
        <v>Tubulação D=40cm</v>
      </c>
      <c r="C24" s="708" t="str">
        <f t="shared" si="5"/>
        <v>m</v>
      </c>
      <c r="D24" s="709">
        <f t="shared" si="5"/>
        <v>60</v>
      </c>
      <c r="E24" s="710">
        <f t="shared" si="5"/>
        <v>1</v>
      </c>
      <c r="F24" s="710">
        <f t="shared" ref="F24:F30" si="6">N10-F10</f>
        <v>0</v>
      </c>
      <c r="G24" s="710"/>
      <c r="H24" s="710"/>
      <c r="I24" s="710"/>
      <c r="J24" s="710"/>
      <c r="K24" s="710"/>
      <c r="L24" s="711">
        <f>TRUNC(D24*E24*F24,3)</f>
        <v>0</v>
      </c>
    </row>
    <row r="25" spans="1:15" ht="15" x14ac:dyDescent="0.2">
      <c r="A25" s="717" t="s">
        <v>32</v>
      </c>
      <c r="B25" s="707" t="str">
        <f t="shared" si="5"/>
        <v>Tubulação D=60cm</v>
      </c>
      <c r="C25" s="708" t="str">
        <f t="shared" si="5"/>
        <v>m</v>
      </c>
      <c r="D25" s="709">
        <f t="shared" si="5"/>
        <v>75</v>
      </c>
      <c r="E25" s="710">
        <f t="shared" si="5"/>
        <v>1.2</v>
      </c>
      <c r="F25" s="710">
        <f t="shared" si="6"/>
        <v>0.2</v>
      </c>
      <c r="G25" s="710"/>
      <c r="H25" s="710"/>
      <c r="I25" s="710"/>
      <c r="J25" s="710"/>
      <c r="K25" s="710"/>
      <c r="L25" s="711">
        <f>TRUNC(D25*E25*F25,3)</f>
        <v>18</v>
      </c>
    </row>
    <row r="26" spans="1:15" ht="15" x14ac:dyDescent="0.2">
      <c r="A26" s="717" t="s">
        <v>33</v>
      </c>
      <c r="B26" s="707" t="str">
        <f t="shared" si="5"/>
        <v>Tubulação D=80cm</v>
      </c>
      <c r="C26" s="708" t="str">
        <f t="shared" si="5"/>
        <v>m</v>
      </c>
      <c r="D26" s="709">
        <f t="shared" si="5"/>
        <v>143</v>
      </c>
      <c r="E26" s="710">
        <f t="shared" si="5"/>
        <v>1.4</v>
      </c>
      <c r="F26" s="710">
        <f t="shared" si="6"/>
        <v>0.4</v>
      </c>
      <c r="G26" s="710"/>
      <c r="H26" s="710"/>
      <c r="I26" s="710"/>
      <c r="J26" s="710"/>
      <c r="K26" s="710"/>
      <c r="L26" s="711">
        <f t="shared" ref="L26:L29" si="7">TRUNC(D26*E26*F26,3)</f>
        <v>80.08</v>
      </c>
    </row>
    <row r="27" spans="1:15" ht="15" x14ac:dyDescent="0.2">
      <c r="A27" s="717" t="s">
        <v>34</v>
      </c>
      <c r="B27" s="707" t="str">
        <f t="shared" si="5"/>
        <v>Tubulação D=100cm</v>
      </c>
      <c r="C27" s="708" t="str">
        <f t="shared" si="5"/>
        <v>m</v>
      </c>
      <c r="D27" s="709">
        <f t="shared" si="5"/>
        <v>0</v>
      </c>
      <c r="E27" s="710">
        <f t="shared" si="5"/>
        <v>1.6</v>
      </c>
      <c r="F27" s="710">
        <f t="shared" si="6"/>
        <v>0.6</v>
      </c>
      <c r="G27" s="710"/>
      <c r="H27" s="710"/>
      <c r="I27" s="710"/>
      <c r="J27" s="710"/>
      <c r="K27" s="710"/>
      <c r="L27" s="711">
        <f t="shared" si="7"/>
        <v>0</v>
      </c>
    </row>
    <row r="28" spans="1:15" ht="15" x14ac:dyDescent="0.2">
      <c r="A28" s="717" t="s">
        <v>37</v>
      </c>
      <c r="B28" s="707" t="str">
        <f t="shared" si="5"/>
        <v>Tubulação D=120cm</v>
      </c>
      <c r="C28" s="708" t="str">
        <f t="shared" si="5"/>
        <v>m</v>
      </c>
      <c r="D28" s="709">
        <f t="shared" si="5"/>
        <v>0</v>
      </c>
      <c r="E28" s="710">
        <f t="shared" si="5"/>
        <v>1.8</v>
      </c>
      <c r="F28" s="710">
        <f t="shared" si="6"/>
        <v>1</v>
      </c>
      <c r="G28" s="710"/>
      <c r="H28" s="710"/>
      <c r="I28" s="710"/>
      <c r="J28" s="710"/>
      <c r="K28" s="710"/>
      <c r="L28" s="711">
        <f t="shared" si="7"/>
        <v>0</v>
      </c>
    </row>
    <row r="29" spans="1:15" ht="15" x14ac:dyDescent="0.2">
      <c r="A29" s="717" t="s">
        <v>46</v>
      </c>
      <c r="B29" s="707" t="str">
        <f t="shared" si="5"/>
        <v>Tubulação D=150cm</v>
      </c>
      <c r="C29" s="708" t="str">
        <f t="shared" si="5"/>
        <v>m</v>
      </c>
      <c r="D29" s="709">
        <f t="shared" si="5"/>
        <v>0</v>
      </c>
      <c r="E29" s="710">
        <f t="shared" si="5"/>
        <v>2.1</v>
      </c>
      <c r="F29" s="710">
        <f t="shared" si="6"/>
        <v>1.3</v>
      </c>
      <c r="G29" s="710"/>
      <c r="H29" s="710"/>
      <c r="I29" s="710"/>
      <c r="J29" s="710"/>
      <c r="K29" s="710"/>
      <c r="L29" s="711">
        <f t="shared" si="7"/>
        <v>0</v>
      </c>
    </row>
    <row r="30" spans="1:15" ht="15" x14ac:dyDescent="0.2">
      <c r="A30" s="717" t="s">
        <v>239</v>
      </c>
      <c r="B30" s="707" t="str">
        <f t="shared" si="5"/>
        <v>Boca de lobo simples</v>
      </c>
      <c r="C30" s="708" t="str">
        <f t="shared" si="5"/>
        <v>und</v>
      </c>
      <c r="D30" s="709">
        <f t="shared" si="5"/>
        <v>2</v>
      </c>
      <c r="E30" s="710">
        <f t="shared" si="5"/>
        <v>1.9</v>
      </c>
      <c r="F30" s="710">
        <f t="shared" si="6"/>
        <v>0</v>
      </c>
      <c r="G30" s="710"/>
      <c r="H30" s="710"/>
      <c r="I30" s="710"/>
      <c r="J30" s="710"/>
      <c r="K30" s="710"/>
      <c r="L30" s="711">
        <f>TRUNC(D30*E30*F30*G30,3)</f>
        <v>0</v>
      </c>
    </row>
    <row r="31" spans="1:15" ht="15" x14ac:dyDescent="0.2">
      <c r="A31" s="717" t="s">
        <v>240</v>
      </c>
      <c r="B31" s="707" t="str">
        <f t="shared" si="5"/>
        <v>Poço de Visita - Coletor de Ø120</v>
      </c>
      <c r="C31" s="708" t="str">
        <f t="shared" si="5"/>
        <v>und</v>
      </c>
      <c r="D31" s="742">
        <f t="shared" si="5"/>
        <v>0</v>
      </c>
      <c r="E31" s="710">
        <f t="shared" si="5"/>
        <v>2.7</v>
      </c>
      <c r="F31" s="710">
        <f>N17+O17-F17</f>
        <v>1</v>
      </c>
      <c r="G31" s="710">
        <f>G17</f>
        <v>2.9</v>
      </c>
      <c r="H31" s="710"/>
      <c r="I31" s="710"/>
      <c r="J31" s="710"/>
      <c r="K31" s="710"/>
      <c r="L31" s="711">
        <f t="shared" ref="L31" si="8">TRUNC(D31*E31*F31*G31,3)</f>
        <v>0</v>
      </c>
    </row>
    <row r="32" spans="1:15" ht="15" x14ac:dyDescent="0.2">
      <c r="A32" s="717" t="s">
        <v>252</v>
      </c>
      <c r="B32" s="707" t="str">
        <f t="shared" si="5"/>
        <v>Poço de Visita - Coletor de Ø100</v>
      </c>
      <c r="C32" s="708" t="str">
        <f t="shared" si="5"/>
        <v>und</v>
      </c>
      <c r="D32" s="709">
        <f t="shared" si="5"/>
        <v>0</v>
      </c>
      <c r="E32" s="710">
        <f t="shared" si="5"/>
        <v>2.5</v>
      </c>
      <c r="F32" s="710">
        <f t="shared" ref="F32:F36" si="9">N18+O18-F18</f>
        <v>0.8</v>
      </c>
      <c r="G32" s="710">
        <f t="shared" ref="G32:G36" si="10">G18</f>
        <v>2.9</v>
      </c>
      <c r="H32" s="710"/>
      <c r="I32" s="710"/>
      <c r="J32" s="710"/>
      <c r="K32" s="710"/>
      <c r="L32" s="711">
        <f t="shared" ref="L32:L36" si="11">TRUNC(D32*E32*F32*G32,3)</f>
        <v>0</v>
      </c>
    </row>
    <row r="33" spans="1:12" ht="15" x14ac:dyDescent="0.2">
      <c r="A33" s="717" t="s">
        <v>253</v>
      </c>
      <c r="B33" s="707" t="str">
        <f t="shared" si="5"/>
        <v>Poço de Visita - Coletor de Ø80</v>
      </c>
      <c r="C33" s="708" t="str">
        <f t="shared" si="5"/>
        <v>und</v>
      </c>
      <c r="D33" s="709">
        <f t="shared" si="5"/>
        <v>2</v>
      </c>
      <c r="E33" s="710">
        <f t="shared" si="5"/>
        <v>2.4</v>
      </c>
      <c r="F33" s="710">
        <f t="shared" si="9"/>
        <v>0.5</v>
      </c>
      <c r="G33" s="710">
        <f t="shared" si="10"/>
        <v>2.9</v>
      </c>
      <c r="H33" s="710"/>
      <c r="I33" s="710"/>
      <c r="J33" s="710"/>
      <c r="K33" s="710"/>
      <c r="L33" s="711">
        <f t="shared" si="11"/>
        <v>6.96</v>
      </c>
    </row>
    <row r="34" spans="1:12" ht="15" x14ac:dyDescent="0.2">
      <c r="A34" s="717" t="s">
        <v>425</v>
      </c>
      <c r="B34" s="707" t="str">
        <f t="shared" si="5"/>
        <v>Poço de Visita - Coletor de Ø60</v>
      </c>
      <c r="C34" s="708" t="str">
        <f t="shared" si="5"/>
        <v>und</v>
      </c>
      <c r="D34" s="709">
        <f t="shared" si="5"/>
        <v>1</v>
      </c>
      <c r="E34" s="710">
        <f t="shared" si="5"/>
        <v>2.2999999999999998</v>
      </c>
      <c r="F34" s="710">
        <f t="shared" si="9"/>
        <v>0.3</v>
      </c>
      <c r="G34" s="710">
        <f t="shared" si="10"/>
        <v>2.9</v>
      </c>
      <c r="H34" s="710"/>
      <c r="I34" s="710"/>
      <c r="J34" s="710"/>
      <c r="K34" s="710"/>
      <c r="L34" s="711">
        <f t="shared" si="11"/>
        <v>2.0009999999999999</v>
      </c>
    </row>
    <row r="35" spans="1:12" ht="15" x14ac:dyDescent="0.2">
      <c r="A35" s="717" t="s">
        <v>426</v>
      </c>
      <c r="B35" s="707" t="str">
        <f t="shared" si="5"/>
        <v>Caixa Coletora</v>
      </c>
      <c r="C35" s="708" t="str">
        <f t="shared" si="5"/>
        <v>und</v>
      </c>
      <c r="D35" s="709">
        <f t="shared" si="5"/>
        <v>0</v>
      </c>
      <c r="E35" s="710">
        <f t="shared" si="5"/>
        <v>2.5</v>
      </c>
      <c r="F35" s="710">
        <f t="shared" si="9"/>
        <v>1</v>
      </c>
      <c r="G35" s="710">
        <f t="shared" si="10"/>
        <v>2.9</v>
      </c>
      <c r="H35" s="710"/>
      <c r="I35" s="710"/>
      <c r="J35" s="710"/>
      <c r="K35" s="710"/>
      <c r="L35" s="711">
        <f t="shared" si="11"/>
        <v>0</v>
      </c>
    </row>
    <row r="36" spans="1:12" ht="15" x14ac:dyDescent="0.2">
      <c r="A36" s="717" t="s">
        <v>483</v>
      </c>
      <c r="B36" s="707" t="str">
        <f t="shared" si="5"/>
        <v>Dissipador de energia</v>
      </c>
      <c r="C36" s="708" t="str">
        <f t="shared" si="5"/>
        <v>und</v>
      </c>
      <c r="D36" s="709">
        <f t="shared" si="5"/>
        <v>0</v>
      </c>
      <c r="E36" s="710">
        <f t="shared" si="5"/>
        <v>2.2000000000000002</v>
      </c>
      <c r="F36" s="710">
        <f t="shared" si="9"/>
        <v>0</v>
      </c>
      <c r="G36" s="710">
        <f t="shared" si="10"/>
        <v>4.8</v>
      </c>
      <c r="H36" s="710"/>
      <c r="I36" s="710"/>
      <c r="J36" s="710"/>
      <c r="K36" s="710"/>
      <c r="L36" s="711">
        <f t="shared" si="11"/>
        <v>0</v>
      </c>
    </row>
    <row r="37" spans="1:12" ht="28.5" customHeight="1" x14ac:dyDescent="0.2">
      <c r="A37" s="675" t="s">
        <v>86</v>
      </c>
      <c r="B37" s="1086" t="s">
        <v>299</v>
      </c>
      <c r="C37" s="1086"/>
      <c r="D37" s="1086"/>
      <c r="E37" s="1086"/>
      <c r="F37" s="1086"/>
      <c r="G37" s="1086"/>
      <c r="H37" s="718" t="s">
        <v>279</v>
      </c>
      <c r="I37" s="718"/>
      <c r="J37" s="719" t="s">
        <v>280</v>
      </c>
      <c r="K37" s="674" t="s">
        <v>6</v>
      </c>
      <c r="L37" s="720">
        <f>SUM(L38:L42)</f>
        <v>88.71</v>
      </c>
    </row>
    <row r="38" spans="1:12" ht="15" x14ac:dyDescent="0.2">
      <c r="A38" s="658" t="s">
        <v>25</v>
      </c>
      <c r="B38" s="721" t="s">
        <v>77</v>
      </c>
      <c r="C38" s="722" t="s">
        <v>5</v>
      </c>
      <c r="D38" s="710">
        <f>D11</f>
        <v>75</v>
      </c>
      <c r="E38" s="710"/>
      <c r="F38" s="710">
        <f>N11</f>
        <v>1.7</v>
      </c>
      <c r="G38" s="710"/>
      <c r="H38" s="710">
        <v>2</v>
      </c>
      <c r="I38" s="723"/>
      <c r="J38" s="710">
        <v>9</v>
      </c>
      <c r="K38" s="723"/>
      <c r="L38" s="724">
        <f t="shared" ref="L38:L42" si="12">(D38*F38*H38)/J38</f>
        <v>28.33</v>
      </c>
    </row>
    <row r="39" spans="1:12" ht="15" x14ac:dyDescent="0.2">
      <c r="A39" s="658" t="s">
        <v>26</v>
      </c>
      <c r="B39" s="721" t="s">
        <v>81</v>
      </c>
      <c r="C39" s="722" t="s">
        <v>5</v>
      </c>
      <c r="D39" s="710">
        <f>D12</f>
        <v>143</v>
      </c>
      <c r="E39" s="710"/>
      <c r="F39" s="710">
        <f>N12</f>
        <v>1.9</v>
      </c>
      <c r="G39" s="710"/>
      <c r="H39" s="710">
        <v>2</v>
      </c>
      <c r="I39" s="723"/>
      <c r="J39" s="710">
        <f t="shared" ref="J39:J41" si="13">J38</f>
        <v>9</v>
      </c>
      <c r="K39" s="723"/>
      <c r="L39" s="724">
        <f t="shared" si="12"/>
        <v>60.38</v>
      </c>
    </row>
    <row r="40" spans="1:12" ht="15" x14ac:dyDescent="0.2">
      <c r="A40" s="658" t="s">
        <v>27</v>
      </c>
      <c r="B40" s="714" t="s">
        <v>82</v>
      </c>
      <c r="C40" s="722" t="s">
        <v>5</v>
      </c>
      <c r="D40" s="710">
        <f>D13</f>
        <v>0</v>
      </c>
      <c r="E40" s="710"/>
      <c r="F40" s="710">
        <f>N13</f>
        <v>2.1</v>
      </c>
      <c r="G40" s="710"/>
      <c r="H40" s="710">
        <v>2</v>
      </c>
      <c r="I40" s="723"/>
      <c r="J40" s="710">
        <f>J39</f>
        <v>9</v>
      </c>
      <c r="K40" s="723"/>
      <c r="L40" s="724">
        <f t="shared" si="12"/>
        <v>0</v>
      </c>
    </row>
    <row r="41" spans="1:12" ht="15" x14ac:dyDescent="0.2">
      <c r="A41" s="658" t="s">
        <v>28</v>
      </c>
      <c r="B41" s="714" t="s">
        <v>83</v>
      </c>
      <c r="C41" s="715" t="s">
        <v>5</v>
      </c>
      <c r="D41" s="710">
        <f>D14</f>
        <v>0</v>
      </c>
      <c r="E41" s="710"/>
      <c r="F41" s="710">
        <f>N14</f>
        <v>2.5</v>
      </c>
      <c r="G41" s="710"/>
      <c r="H41" s="710">
        <v>2</v>
      </c>
      <c r="I41" s="723"/>
      <c r="J41" s="710">
        <f t="shared" si="13"/>
        <v>9</v>
      </c>
      <c r="K41" s="723"/>
      <c r="L41" s="724">
        <f t="shared" si="12"/>
        <v>0</v>
      </c>
    </row>
    <row r="42" spans="1:12" ht="15" x14ac:dyDescent="0.2">
      <c r="A42" s="658" t="s">
        <v>29</v>
      </c>
      <c r="B42" s="714" t="s">
        <v>84</v>
      </c>
      <c r="C42" s="715" t="s">
        <v>5</v>
      </c>
      <c r="D42" s="710">
        <f>D15</f>
        <v>0</v>
      </c>
      <c r="E42" s="710"/>
      <c r="F42" s="710">
        <f>N15</f>
        <v>2.8</v>
      </c>
      <c r="G42" s="710"/>
      <c r="H42" s="710">
        <v>2</v>
      </c>
      <c r="I42" s="723"/>
      <c r="J42" s="710">
        <f>J41</f>
        <v>9</v>
      </c>
      <c r="K42" s="723"/>
      <c r="L42" s="724">
        <f t="shared" si="12"/>
        <v>0</v>
      </c>
    </row>
    <row r="43" spans="1:12" ht="28.5" customHeight="1" x14ac:dyDescent="0.2">
      <c r="A43" s="725" t="s">
        <v>87</v>
      </c>
      <c r="B43" s="1079" t="s">
        <v>412</v>
      </c>
      <c r="C43" s="1079"/>
      <c r="D43" s="1079"/>
      <c r="E43" s="1079"/>
      <c r="F43" s="1079"/>
      <c r="G43" s="1079"/>
      <c r="H43" s="1079"/>
      <c r="I43" s="1079"/>
      <c r="J43" s="726" t="s">
        <v>31</v>
      </c>
      <c r="K43" s="1080">
        <f>SUM(L44:L56)</f>
        <v>35.020000000000003</v>
      </c>
      <c r="L43" s="1081"/>
    </row>
    <row r="44" spans="1:12" ht="15" x14ac:dyDescent="0.2">
      <c r="A44" s="658" t="s">
        <v>163</v>
      </c>
      <c r="B44" s="721" t="str">
        <f t="shared" ref="B44:E56" si="14">B10</f>
        <v>Tubulação D=40cm</v>
      </c>
      <c r="C44" s="722" t="str">
        <f t="shared" si="14"/>
        <v>m</v>
      </c>
      <c r="D44" s="727">
        <f t="shared" si="14"/>
        <v>60</v>
      </c>
      <c r="E44" s="727">
        <f t="shared" si="14"/>
        <v>1</v>
      </c>
      <c r="F44" s="727">
        <v>0.1</v>
      </c>
      <c r="G44" s="727"/>
      <c r="H44" s="727"/>
      <c r="I44" s="723"/>
      <c r="J44" s="727"/>
      <c r="K44" s="727"/>
      <c r="L44" s="728">
        <f t="shared" ref="L44:L49" si="15">E44*F44*D44</f>
        <v>6</v>
      </c>
    </row>
    <row r="45" spans="1:12" ht="15" x14ac:dyDescent="0.2">
      <c r="A45" s="658" t="s">
        <v>164</v>
      </c>
      <c r="B45" s="721" t="str">
        <f t="shared" si="14"/>
        <v>Tubulação D=60cm</v>
      </c>
      <c r="C45" s="722" t="str">
        <f t="shared" si="14"/>
        <v>m</v>
      </c>
      <c r="D45" s="727">
        <f t="shared" si="14"/>
        <v>75</v>
      </c>
      <c r="E45" s="727">
        <f t="shared" si="14"/>
        <v>1.2</v>
      </c>
      <c r="F45" s="727">
        <v>0.1</v>
      </c>
      <c r="G45" s="727"/>
      <c r="H45" s="727"/>
      <c r="I45" s="723"/>
      <c r="J45" s="727"/>
      <c r="K45" s="727"/>
      <c r="L45" s="728">
        <f t="shared" si="15"/>
        <v>9</v>
      </c>
    </row>
    <row r="46" spans="1:12" ht="15" x14ac:dyDescent="0.2">
      <c r="A46" s="658" t="s">
        <v>165</v>
      </c>
      <c r="B46" s="721" t="str">
        <f t="shared" si="14"/>
        <v>Tubulação D=80cm</v>
      </c>
      <c r="C46" s="722" t="str">
        <f t="shared" si="14"/>
        <v>m</v>
      </c>
      <c r="D46" s="727">
        <f t="shared" si="14"/>
        <v>143</v>
      </c>
      <c r="E46" s="727">
        <f t="shared" si="14"/>
        <v>1.4</v>
      </c>
      <c r="F46" s="727">
        <v>0.1</v>
      </c>
      <c r="G46" s="727"/>
      <c r="H46" s="727"/>
      <c r="I46" s="723"/>
      <c r="J46" s="727"/>
      <c r="K46" s="727"/>
      <c r="L46" s="728">
        <f t="shared" si="15"/>
        <v>20.02</v>
      </c>
    </row>
    <row r="47" spans="1:12" ht="15" x14ac:dyDescent="0.2">
      <c r="A47" s="658" t="s">
        <v>166</v>
      </c>
      <c r="B47" s="721" t="str">
        <f t="shared" si="14"/>
        <v>Tubulação D=100cm</v>
      </c>
      <c r="C47" s="722" t="str">
        <f t="shared" si="14"/>
        <v>m</v>
      </c>
      <c r="D47" s="727">
        <f t="shared" si="14"/>
        <v>0</v>
      </c>
      <c r="E47" s="727">
        <f t="shared" si="14"/>
        <v>1.6</v>
      </c>
      <c r="F47" s="727">
        <v>0.1</v>
      </c>
      <c r="G47" s="710"/>
      <c r="H47" s="710"/>
      <c r="I47" s="723"/>
      <c r="J47" s="710"/>
      <c r="K47" s="710"/>
      <c r="L47" s="724">
        <f t="shared" si="15"/>
        <v>0</v>
      </c>
    </row>
    <row r="48" spans="1:12" ht="15" x14ac:dyDescent="0.2">
      <c r="A48" s="658" t="s">
        <v>167</v>
      </c>
      <c r="B48" s="721" t="str">
        <f t="shared" si="14"/>
        <v>Tubulação D=120cm</v>
      </c>
      <c r="C48" s="722" t="str">
        <f t="shared" si="14"/>
        <v>m</v>
      </c>
      <c r="D48" s="727">
        <f t="shared" si="14"/>
        <v>0</v>
      </c>
      <c r="E48" s="727">
        <f t="shared" si="14"/>
        <v>1.8</v>
      </c>
      <c r="F48" s="727">
        <v>0.1</v>
      </c>
      <c r="G48" s="710"/>
      <c r="H48" s="710"/>
      <c r="I48" s="723"/>
      <c r="J48" s="710"/>
      <c r="K48" s="710"/>
      <c r="L48" s="724">
        <f t="shared" si="15"/>
        <v>0</v>
      </c>
    </row>
    <row r="49" spans="1:12" ht="15" x14ac:dyDescent="0.2">
      <c r="A49" s="658" t="s">
        <v>168</v>
      </c>
      <c r="B49" s="721" t="str">
        <f t="shared" si="14"/>
        <v>Tubulação D=150cm</v>
      </c>
      <c r="C49" s="722" t="str">
        <f t="shared" si="14"/>
        <v>m</v>
      </c>
      <c r="D49" s="727">
        <f t="shared" si="14"/>
        <v>0</v>
      </c>
      <c r="E49" s="727">
        <f t="shared" si="14"/>
        <v>2.1</v>
      </c>
      <c r="F49" s="727">
        <v>0.1</v>
      </c>
      <c r="G49" s="710"/>
      <c r="H49" s="710"/>
      <c r="I49" s="723"/>
      <c r="J49" s="710"/>
      <c r="K49" s="710"/>
      <c r="L49" s="724">
        <f t="shared" si="15"/>
        <v>0</v>
      </c>
    </row>
    <row r="50" spans="1:12" ht="15" x14ac:dyDescent="0.2">
      <c r="A50" s="658" t="s">
        <v>169</v>
      </c>
      <c r="B50" s="721" t="str">
        <f t="shared" si="14"/>
        <v>Boca de lobo simples</v>
      </c>
      <c r="C50" s="722" t="str">
        <f t="shared" si="14"/>
        <v>und</v>
      </c>
      <c r="D50" s="727">
        <f t="shared" si="14"/>
        <v>2</v>
      </c>
      <c r="E50" s="727">
        <f t="shared" si="14"/>
        <v>1.9</v>
      </c>
      <c r="F50" s="710"/>
      <c r="G50" s="710">
        <f t="shared" ref="G50:G56" si="16">G16</f>
        <v>1.9</v>
      </c>
      <c r="H50" s="710"/>
      <c r="I50" s="723"/>
      <c r="J50" s="710"/>
      <c r="K50" s="723"/>
      <c r="L50" s="724">
        <f t="shared" ref="L50:L56" si="17">E50*F50*G50*D50</f>
        <v>0</v>
      </c>
    </row>
    <row r="51" spans="1:12" ht="15" x14ac:dyDescent="0.2">
      <c r="A51" s="658" t="s">
        <v>170</v>
      </c>
      <c r="B51" s="721" t="str">
        <f t="shared" si="14"/>
        <v>Poço de Visita - Coletor de Ø120</v>
      </c>
      <c r="C51" s="722" t="str">
        <f t="shared" si="14"/>
        <v>und</v>
      </c>
      <c r="D51" s="727">
        <f t="shared" si="14"/>
        <v>0</v>
      </c>
      <c r="E51" s="727">
        <f t="shared" si="14"/>
        <v>2.7</v>
      </c>
      <c r="F51" s="710"/>
      <c r="G51" s="710">
        <f t="shared" si="16"/>
        <v>2.9</v>
      </c>
      <c r="H51" s="710"/>
      <c r="I51" s="723"/>
      <c r="J51" s="710"/>
      <c r="K51" s="723"/>
      <c r="L51" s="724">
        <f t="shared" ref="L51" si="18">E51*F51*G51*D51</f>
        <v>0</v>
      </c>
    </row>
    <row r="52" spans="1:12" ht="15" x14ac:dyDescent="0.2">
      <c r="A52" s="658" t="s">
        <v>180</v>
      </c>
      <c r="B52" s="721" t="str">
        <f t="shared" si="14"/>
        <v>Poço de Visita - Coletor de Ø100</v>
      </c>
      <c r="C52" s="722" t="str">
        <f t="shared" si="14"/>
        <v>und</v>
      </c>
      <c r="D52" s="727">
        <f t="shared" si="14"/>
        <v>0</v>
      </c>
      <c r="E52" s="727">
        <f t="shared" si="14"/>
        <v>2.5</v>
      </c>
      <c r="F52" s="710"/>
      <c r="G52" s="710">
        <f t="shared" si="16"/>
        <v>2.9</v>
      </c>
      <c r="H52" s="710"/>
      <c r="I52" s="723"/>
      <c r="J52" s="710"/>
      <c r="K52" s="723"/>
      <c r="L52" s="724">
        <f t="shared" si="17"/>
        <v>0</v>
      </c>
    </row>
    <row r="53" spans="1:12" ht="15" x14ac:dyDescent="0.2">
      <c r="A53" s="658" t="s">
        <v>254</v>
      </c>
      <c r="B53" s="721" t="str">
        <f t="shared" si="14"/>
        <v>Poço de Visita - Coletor de Ø80</v>
      </c>
      <c r="C53" s="722" t="str">
        <f t="shared" si="14"/>
        <v>und</v>
      </c>
      <c r="D53" s="727">
        <f t="shared" si="14"/>
        <v>2</v>
      </c>
      <c r="E53" s="727">
        <f t="shared" si="14"/>
        <v>2.4</v>
      </c>
      <c r="F53" s="710"/>
      <c r="G53" s="710">
        <f t="shared" si="16"/>
        <v>2.9</v>
      </c>
      <c r="H53" s="710"/>
      <c r="I53" s="723"/>
      <c r="J53" s="710"/>
      <c r="K53" s="723"/>
      <c r="L53" s="724">
        <f t="shared" si="17"/>
        <v>0</v>
      </c>
    </row>
    <row r="54" spans="1:12" ht="15" x14ac:dyDescent="0.2">
      <c r="A54" s="658" t="s">
        <v>427</v>
      </c>
      <c r="B54" s="721" t="str">
        <f t="shared" si="14"/>
        <v>Poço de Visita - Coletor de Ø60</v>
      </c>
      <c r="C54" s="722" t="str">
        <f t="shared" si="14"/>
        <v>und</v>
      </c>
      <c r="D54" s="727">
        <f t="shared" si="14"/>
        <v>1</v>
      </c>
      <c r="E54" s="727">
        <f t="shared" si="14"/>
        <v>2.2999999999999998</v>
      </c>
      <c r="F54" s="710"/>
      <c r="G54" s="710">
        <f t="shared" si="16"/>
        <v>2.9</v>
      </c>
      <c r="H54" s="710"/>
      <c r="I54" s="723"/>
      <c r="J54" s="710"/>
      <c r="K54" s="723"/>
      <c r="L54" s="724">
        <f t="shared" si="17"/>
        <v>0</v>
      </c>
    </row>
    <row r="55" spans="1:12" ht="15" x14ac:dyDescent="0.2">
      <c r="A55" s="658" t="s">
        <v>428</v>
      </c>
      <c r="B55" s="721" t="str">
        <f t="shared" si="14"/>
        <v>Caixa Coletora</v>
      </c>
      <c r="C55" s="722" t="str">
        <f t="shared" si="14"/>
        <v>und</v>
      </c>
      <c r="D55" s="727">
        <f t="shared" si="14"/>
        <v>0</v>
      </c>
      <c r="E55" s="727">
        <f t="shared" si="14"/>
        <v>2.5</v>
      </c>
      <c r="F55" s="710"/>
      <c r="G55" s="710">
        <f t="shared" si="16"/>
        <v>2.9</v>
      </c>
      <c r="H55" s="710"/>
      <c r="I55" s="723"/>
      <c r="J55" s="710"/>
      <c r="K55" s="723"/>
      <c r="L55" s="724">
        <f t="shared" si="17"/>
        <v>0</v>
      </c>
    </row>
    <row r="56" spans="1:12" ht="15" x14ac:dyDescent="0.2">
      <c r="A56" s="658" t="s">
        <v>486</v>
      </c>
      <c r="B56" s="721" t="str">
        <f t="shared" si="14"/>
        <v>Dissipador de energia</v>
      </c>
      <c r="C56" s="722" t="str">
        <f t="shared" si="14"/>
        <v>und</v>
      </c>
      <c r="D56" s="727">
        <f t="shared" si="14"/>
        <v>0</v>
      </c>
      <c r="E56" s="727">
        <f t="shared" si="14"/>
        <v>2.2000000000000002</v>
      </c>
      <c r="F56" s="710"/>
      <c r="G56" s="710">
        <f t="shared" si="16"/>
        <v>4.8</v>
      </c>
      <c r="H56" s="710"/>
      <c r="I56" s="723"/>
      <c r="J56" s="710"/>
      <c r="K56" s="723"/>
      <c r="L56" s="724">
        <f t="shared" si="17"/>
        <v>0</v>
      </c>
    </row>
    <row r="57" spans="1:12" ht="58.5" customHeight="1" x14ac:dyDescent="0.2">
      <c r="A57" s="729" t="s">
        <v>171</v>
      </c>
      <c r="B57" s="1073" t="s">
        <v>458</v>
      </c>
      <c r="C57" s="1073"/>
      <c r="D57" s="1073"/>
      <c r="E57" s="1073"/>
      <c r="F57" s="1073"/>
      <c r="G57" s="1073"/>
      <c r="H57" s="1073"/>
      <c r="I57" s="1073"/>
      <c r="J57" s="726" t="s">
        <v>31</v>
      </c>
      <c r="K57" s="1068">
        <f>SUM(L60:L72)</f>
        <v>466.39600000000002</v>
      </c>
      <c r="L57" s="1069"/>
    </row>
    <row r="58" spans="1:12" ht="28.5" customHeight="1" x14ac:dyDescent="0.2">
      <c r="A58" s="1074" t="s">
        <v>0</v>
      </c>
      <c r="B58" s="1070" t="s">
        <v>137</v>
      </c>
      <c r="C58" s="1076" t="s">
        <v>2</v>
      </c>
      <c r="D58" s="1077" t="s">
        <v>3</v>
      </c>
      <c r="E58" s="1077" t="s">
        <v>429</v>
      </c>
      <c r="F58" s="1077"/>
      <c r="G58" s="1077"/>
      <c r="H58" s="1077" t="s">
        <v>430</v>
      </c>
      <c r="I58" s="1077"/>
      <c r="J58" s="1077" t="s">
        <v>431</v>
      </c>
      <c r="K58" s="1077" t="s">
        <v>432</v>
      </c>
      <c r="L58" s="1078" t="s">
        <v>433</v>
      </c>
    </row>
    <row r="59" spans="1:12" ht="28.5" customHeight="1" x14ac:dyDescent="0.2">
      <c r="A59" s="1074"/>
      <c r="B59" s="1070"/>
      <c r="C59" s="1076"/>
      <c r="D59" s="1077"/>
      <c r="E59" s="730" t="s">
        <v>434</v>
      </c>
      <c r="F59" s="730" t="s">
        <v>435</v>
      </c>
      <c r="G59" s="730" t="s">
        <v>436</v>
      </c>
      <c r="H59" s="1077"/>
      <c r="I59" s="1077"/>
      <c r="J59" s="1077"/>
      <c r="K59" s="1077"/>
      <c r="L59" s="1078"/>
    </row>
    <row r="60" spans="1:12" ht="15" x14ac:dyDescent="0.2">
      <c r="A60" s="443" t="s">
        <v>281</v>
      </c>
      <c r="B60" s="707" t="str">
        <f t="shared" ref="B60:D72" si="19">B10</f>
        <v>Tubulação D=40cm</v>
      </c>
      <c r="C60" s="708" t="str">
        <f t="shared" si="19"/>
        <v>m</v>
      </c>
      <c r="D60" s="709">
        <f t="shared" si="19"/>
        <v>60</v>
      </c>
      <c r="E60" s="709"/>
      <c r="F60" s="710"/>
      <c r="G60" s="710"/>
      <c r="H60" s="660" t="s">
        <v>144</v>
      </c>
      <c r="I60" s="731">
        <f>((0.2*0.2))*3.1416</f>
        <v>0.12565999999999999</v>
      </c>
      <c r="J60" s="732">
        <f>TRUNC(D60*I60,3)</f>
        <v>7.5389999999999997</v>
      </c>
      <c r="K60" s="710">
        <f t="shared" ref="K60:K72" si="20">L10</f>
        <v>90</v>
      </c>
      <c r="L60" s="711">
        <f>TRUNC(K60-J60,3)</f>
        <v>82.460999999999999</v>
      </c>
    </row>
    <row r="61" spans="1:12" ht="15" x14ac:dyDescent="0.2">
      <c r="A61" s="443" t="s">
        <v>282</v>
      </c>
      <c r="B61" s="707" t="str">
        <f t="shared" si="19"/>
        <v>Tubulação D=60cm</v>
      </c>
      <c r="C61" s="708" t="str">
        <f t="shared" si="19"/>
        <v>m</v>
      </c>
      <c r="D61" s="709">
        <f t="shared" si="19"/>
        <v>75</v>
      </c>
      <c r="E61" s="710"/>
      <c r="F61" s="710"/>
      <c r="G61" s="710"/>
      <c r="H61" s="660" t="s">
        <v>144</v>
      </c>
      <c r="I61" s="731">
        <f>((0.3*0.3))*3.1416</f>
        <v>0.28273999999999999</v>
      </c>
      <c r="J61" s="732">
        <f t="shared" ref="J61:J72" si="21">TRUNC(D61*I61,3)</f>
        <v>21.204999999999998</v>
      </c>
      <c r="K61" s="710">
        <f t="shared" si="20"/>
        <v>135</v>
      </c>
      <c r="L61" s="711">
        <f t="shared" ref="L61:L72" si="22">TRUNC(K61-J61,3)</f>
        <v>113.795</v>
      </c>
    </row>
    <row r="62" spans="1:12" ht="15" x14ac:dyDescent="0.2">
      <c r="A62" s="443" t="s">
        <v>283</v>
      </c>
      <c r="B62" s="707" t="str">
        <f t="shared" si="19"/>
        <v>Tubulação D=80cm</v>
      </c>
      <c r="C62" s="708" t="str">
        <f t="shared" si="19"/>
        <v>m</v>
      </c>
      <c r="D62" s="709">
        <f t="shared" si="19"/>
        <v>143</v>
      </c>
      <c r="E62" s="713"/>
      <c r="F62" s="710"/>
      <c r="G62" s="710"/>
      <c r="H62" s="660" t="s">
        <v>144</v>
      </c>
      <c r="I62" s="731">
        <f>((0.4*0.4))*3.1416</f>
        <v>0.50266</v>
      </c>
      <c r="J62" s="732">
        <f t="shared" si="21"/>
        <v>71.88</v>
      </c>
      <c r="K62" s="710">
        <f t="shared" si="20"/>
        <v>300.3</v>
      </c>
      <c r="L62" s="711">
        <f t="shared" si="22"/>
        <v>228.42</v>
      </c>
    </row>
    <row r="63" spans="1:12" ht="15" x14ac:dyDescent="0.2">
      <c r="A63" s="443" t="s">
        <v>284</v>
      </c>
      <c r="B63" s="707" t="str">
        <f t="shared" si="19"/>
        <v>Tubulação D=100cm</v>
      </c>
      <c r="C63" s="708" t="str">
        <f t="shared" si="19"/>
        <v>m</v>
      </c>
      <c r="D63" s="709">
        <f t="shared" si="19"/>
        <v>0</v>
      </c>
      <c r="E63" s="713"/>
      <c r="F63" s="710"/>
      <c r="G63" s="710"/>
      <c r="H63" s="660" t="s">
        <v>144</v>
      </c>
      <c r="I63" s="731">
        <f>((0.5*0.5))*3.1416</f>
        <v>0.78539999999999999</v>
      </c>
      <c r="J63" s="732">
        <f t="shared" si="21"/>
        <v>0</v>
      </c>
      <c r="K63" s="710">
        <f t="shared" si="20"/>
        <v>0</v>
      </c>
      <c r="L63" s="711">
        <f t="shared" si="22"/>
        <v>0</v>
      </c>
    </row>
    <row r="64" spans="1:12" ht="15" x14ac:dyDescent="0.2">
      <c r="A64" s="443" t="s">
        <v>285</v>
      </c>
      <c r="B64" s="707" t="str">
        <f t="shared" si="19"/>
        <v>Tubulação D=120cm</v>
      </c>
      <c r="C64" s="708" t="str">
        <f t="shared" si="19"/>
        <v>m</v>
      </c>
      <c r="D64" s="709">
        <f t="shared" si="19"/>
        <v>0</v>
      </c>
      <c r="E64" s="709"/>
      <c r="F64" s="710"/>
      <c r="G64" s="710"/>
      <c r="H64" s="660" t="s">
        <v>144</v>
      </c>
      <c r="I64" s="731">
        <f>((0.6*0.6))*3.1416</f>
        <v>1.1309800000000001</v>
      </c>
      <c r="J64" s="732">
        <f t="shared" si="21"/>
        <v>0</v>
      </c>
      <c r="K64" s="710">
        <f t="shared" si="20"/>
        <v>0</v>
      </c>
      <c r="L64" s="711">
        <f t="shared" si="22"/>
        <v>0</v>
      </c>
    </row>
    <row r="65" spans="1:12" ht="15" x14ac:dyDescent="0.2">
      <c r="A65" s="443" t="s">
        <v>286</v>
      </c>
      <c r="B65" s="707" t="str">
        <f t="shared" si="19"/>
        <v>Tubulação D=150cm</v>
      </c>
      <c r="C65" s="708" t="str">
        <f t="shared" si="19"/>
        <v>m</v>
      </c>
      <c r="D65" s="709">
        <f t="shared" si="19"/>
        <v>0</v>
      </c>
      <c r="E65" s="710"/>
      <c r="F65" s="710"/>
      <c r="G65" s="710"/>
      <c r="H65" s="660" t="s">
        <v>144</v>
      </c>
      <c r="I65" s="731">
        <f>((0.75*0.75))*3.1416</f>
        <v>1.76715</v>
      </c>
      <c r="J65" s="732">
        <f t="shared" si="21"/>
        <v>0</v>
      </c>
      <c r="K65" s="710">
        <f t="shared" si="20"/>
        <v>0</v>
      </c>
      <c r="L65" s="711">
        <f t="shared" si="22"/>
        <v>0</v>
      </c>
    </row>
    <row r="66" spans="1:12" ht="15" x14ac:dyDescent="0.2">
      <c r="A66" s="443" t="s">
        <v>287</v>
      </c>
      <c r="B66" s="707" t="str">
        <f t="shared" si="19"/>
        <v>Boca de lobo simples</v>
      </c>
      <c r="C66" s="708" t="str">
        <f t="shared" si="19"/>
        <v>und</v>
      </c>
      <c r="D66" s="709">
        <f t="shared" si="19"/>
        <v>2</v>
      </c>
      <c r="E66" s="660">
        <v>1.4</v>
      </c>
      <c r="F66" s="660">
        <f>N16+O16</f>
        <v>1.5</v>
      </c>
      <c r="G66" s="660">
        <v>1.4</v>
      </c>
      <c r="H66" s="710"/>
      <c r="I66" s="710"/>
      <c r="J66" s="732">
        <f t="shared" si="21"/>
        <v>0</v>
      </c>
      <c r="K66" s="710">
        <f t="shared" si="20"/>
        <v>10.83</v>
      </c>
      <c r="L66" s="711">
        <f t="shared" si="22"/>
        <v>10.83</v>
      </c>
    </row>
    <row r="67" spans="1:12" ht="15" x14ac:dyDescent="0.2">
      <c r="A67" s="443" t="s">
        <v>288</v>
      </c>
      <c r="B67" s="707" t="str">
        <f t="shared" si="19"/>
        <v>Poço de Visita - Coletor de Ø120</v>
      </c>
      <c r="C67" s="708" t="str">
        <f t="shared" si="19"/>
        <v>und</v>
      </c>
      <c r="D67" s="742">
        <f t="shared" si="19"/>
        <v>0</v>
      </c>
      <c r="E67" s="733">
        <v>1.7</v>
      </c>
      <c r="F67" s="660">
        <v>1.5</v>
      </c>
      <c r="G67" s="733">
        <v>1.9</v>
      </c>
      <c r="H67" s="710"/>
      <c r="I67" s="710"/>
      <c r="J67" s="732">
        <f t="shared" ref="J67" si="23">TRUNC(D67*I67,3)</f>
        <v>0</v>
      </c>
      <c r="K67" s="710">
        <f t="shared" si="20"/>
        <v>0</v>
      </c>
      <c r="L67" s="711">
        <f t="shared" ref="L67" si="24">TRUNC(K67-J67,3)</f>
        <v>0</v>
      </c>
    </row>
    <row r="68" spans="1:12" ht="15" x14ac:dyDescent="0.2">
      <c r="A68" s="443" t="s">
        <v>289</v>
      </c>
      <c r="B68" s="707" t="str">
        <f t="shared" si="19"/>
        <v>Poço de Visita - Coletor de Ø100</v>
      </c>
      <c r="C68" s="708" t="str">
        <f t="shared" si="19"/>
        <v>und</v>
      </c>
      <c r="D68" s="709">
        <f t="shared" si="19"/>
        <v>0</v>
      </c>
      <c r="E68" s="733">
        <v>1.5</v>
      </c>
      <c r="F68" s="660">
        <v>1.5</v>
      </c>
      <c r="G68" s="733">
        <v>1.9</v>
      </c>
      <c r="H68" s="710"/>
      <c r="I68" s="710"/>
      <c r="J68" s="732">
        <f t="shared" si="21"/>
        <v>0</v>
      </c>
      <c r="K68" s="710">
        <f t="shared" si="20"/>
        <v>0</v>
      </c>
      <c r="L68" s="711">
        <f t="shared" si="22"/>
        <v>0</v>
      </c>
    </row>
    <row r="69" spans="1:12" ht="15" x14ac:dyDescent="0.2">
      <c r="A69" s="443" t="s">
        <v>290</v>
      </c>
      <c r="B69" s="707" t="str">
        <f t="shared" si="19"/>
        <v>Poço de Visita - Coletor de Ø80</v>
      </c>
      <c r="C69" s="708" t="str">
        <f t="shared" si="19"/>
        <v>und</v>
      </c>
      <c r="D69" s="709">
        <f t="shared" si="19"/>
        <v>2</v>
      </c>
      <c r="E69" s="733">
        <v>1.4</v>
      </c>
      <c r="F69" s="660">
        <v>1.5</v>
      </c>
      <c r="G69" s="733">
        <v>1.9</v>
      </c>
      <c r="H69" s="710"/>
      <c r="I69" s="710"/>
      <c r="J69" s="732">
        <f t="shared" si="21"/>
        <v>0</v>
      </c>
      <c r="K69" s="710">
        <f t="shared" si="20"/>
        <v>20.88</v>
      </c>
      <c r="L69" s="711">
        <f t="shared" si="22"/>
        <v>20.88</v>
      </c>
    </row>
    <row r="70" spans="1:12" ht="15" x14ac:dyDescent="0.2">
      <c r="A70" s="443" t="s">
        <v>437</v>
      </c>
      <c r="B70" s="707" t="str">
        <f t="shared" si="19"/>
        <v>Poço de Visita - Coletor de Ø60</v>
      </c>
      <c r="C70" s="708" t="str">
        <f t="shared" si="19"/>
        <v>und</v>
      </c>
      <c r="D70" s="709">
        <f t="shared" si="19"/>
        <v>1</v>
      </c>
      <c r="E70" s="733">
        <v>1.3</v>
      </c>
      <c r="F70" s="660">
        <v>1.5</v>
      </c>
      <c r="G70" s="733">
        <v>1.9</v>
      </c>
      <c r="H70" s="710"/>
      <c r="I70" s="710"/>
      <c r="J70" s="732">
        <f t="shared" si="21"/>
        <v>0</v>
      </c>
      <c r="K70" s="710">
        <f t="shared" si="20"/>
        <v>10.01</v>
      </c>
      <c r="L70" s="711">
        <f t="shared" si="22"/>
        <v>10.01</v>
      </c>
    </row>
    <row r="71" spans="1:12" ht="15" x14ac:dyDescent="0.2">
      <c r="A71" s="443" t="s">
        <v>438</v>
      </c>
      <c r="B71" s="707" t="str">
        <f t="shared" si="19"/>
        <v>Caixa Coletora</v>
      </c>
      <c r="C71" s="708" t="str">
        <f t="shared" si="19"/>
        <v>und</v>
      </c>
      <c r="D71" s="709">
        <f t="shared" si="19"/>
        <v>0</v>
      </c>
      <c r="E71" s="733">
        <v>1.5</v>
      </c>
      <c r="F71" s="660">
        <v>1.5</v>
      </c>
      <c r="G71" s="733">
        <v>1.9</v>
      </c>
      <c r="H71" s="710"/>
      <c r="I71" s="710"/>
      <c r="J71" s="732">
        <f t="shared" si="21"/>
        <v>0</v>
      </c>
      <c r="K71" s="710">
        <f t="shared" si="20"/>
        <v>0</v>
      </c>
      <c r="L71" s="711">
        <f t="shared" si="22"/>
        <v>0</v>
      </c>
    </row>
    <row r="72" spans="1:12" ht="15" x14ac:dyDescent="0.2">
      <c r="A72" s="443" t="s">
        <v>485</v>
      </c>
      <c r="B72" s="707" t="str">
        <f t="shared" si="19"/>
        <v>Dissipador de energia</v>
      </c>
      <c r="C72" s="708" t="str">
        <f t="shared" si="19"/>
        <v>und</v>
      </c>
      <c r="D72" s="709">
        <f t="shared" si="19"/>
        <v>0</v>
      </c>
      <c r="E72" s="710"/>
      <c r="F72" s="710"/>
      <c r="G72" s="710"/>
      <c r="H72" s="710"/>
      <c r="I72" s="710"/>
      <c r="J72" s="732">
        <f t="shared" si="21"/>
        <v>0</v>
      </c>
      <c r="K72" s="710">
        <f t="shared" si="20"/>
        <v>0</v>
      </c>
      <c r="L72" s="711">
        <f t="shared" si="22"/>
        <v>0</v>
      </c>
    </row>
    <row r="73" spans="1:12" ht="15" x14ac:dyDescent="0.2">
      <c r="A73" s="734"/>
      <c r="B73" s="735"/>
      <c r="C73" s="708"/>
      <c r="D73" s="733"/>
      <c r="E73" s="733"/>
      <c r="F73" s="733"/>
      <c r="G73" s="733"/>
      <c r="H73" s="730"/>
      <c r="I73" s="736"/>
      <c r="J73" s="710"/>
      <c r="K73" s="737"/>
      <c r="L73" s="738"/>
    </row>
    <row r="74" spans="1:12" ht="66" customHeight="1" x14ac:dyDescent="0.2">
      <c r="A74" s="729" t="s">
        <v>245</v>
      </c>
      <c r="B74" s="1073" t="s">
        <v>457</v>
      </c>
      <c r="C74" s="1073"/>
      <c r="D74" s="1073"/>
      <c r="E74" s="1073"/>
      <c r="F74" s="1073"/>
      <c r="G74" s="1073"/>
      <c r="H74" s="1073"/>
      <c r="I74" s="1073"/>
      <c r="J74" s="726" t="s">
        <v>31</v>
      </c>
      <c r="K74" s="1068">
        <f>SUM(L77:L89)</f>
        <v>103.64</v>
      </c>
      <c r="L74" s="1069"/>
    </row>
    <row r="75" spans="1:12" ht="14.25" x14ac:dyDescent="0.2">
      <c r="A75" s="1074" t="s">
        <v>0</v>
      </c>
      <c r="B75" s="1075" t="s">
        <v>137</v>
      </c>
      <c r="C75" s="1076" t="s">
        <v>2</v>
      </c>
      <c r="D75" s="1077" t="s">
        <v>3</v>
      </c>
      <c r="E75" s="1077" t="s">
        <v>429</v>
      </c>
      <c r="F75" s="1077"/>
      <c r="G75" s="1077"/>
      <c r="H75" s="1077" t="s">
        <v>430</v>
      </c>
      <c r="I75" s="1077"/>
      <c r="J75" s="1077" t="s">
        <v>431</v>
      </c>
      <c r="K75" s="1077" t="s">
        <v>432</v>
      </c>
      <c r="L75" s="1078" t="s">
        <v>433</v>
      </c>
    </row>
    <row r="76" spans="1:12" ht="30" x14ac:dyDescent="0.2">
      <c r="A76" s="1074"/>
      <c r="B76" s="1075"/>
      <c r="C76" s="1076"/>
      <c r="D76" s="1077"/>
      <c r="E76" s="730" t="s">
        <v>434</v>
      </c>
      <c r="F76" s="730" t="s">
        <v>435</v>
      </c>
      <c r="G76" s="730" t="s">
        <v>436</v>
      </c>
      <c r="H76" s="1077"/>
      <c r="I76" s="1077"/>
      <c r="J76" s="1077"/>
      <c r="K76" s="1077"/>
      <c r="L76" s="1078"/>
    </row>
    <row r="77" spans="1:12" ht="15" x14ac:dyDescent="0.2">
      <c r="A77" s="734" t="s">
        <v>439</v>
      </c>
      <c r="B77" s="735" t="str">
        <f t="shared" ref="B77:D89" si="25">B10</f>
        <v>Tubulação D=40cm</v>
      </c>
      <c r="C77" s="708" t="str">
        <f t="shared" si="25"/>
        <v>m</v>
      </c>
      <c r="D77" s="733">
        <f t="shared" si="25"/>
        <v>60</v>
      </c>
      <c r="E77" s="733"/>
      <c r="F77" s="733"/>
      <c r="G77" s="733"/>
      <c r="H77" s="660" t="s">
        <v>144</v>
      </c>
      <c r="I77" s="736"/>
      <c r="J77" s="732">
        <f>TRUNC(I77*D77,3)</f>
        <v>0</v>
      </c>
      <c r="K77" s="732">
        <f t="shared" ref="K77:K89" si="26">L24</f>
        <v>0</v>
      </c>
      <c r="L77" s="711">
        <f>TRUNC(J77-K77,3)</f>
        <v>0</v>
      </c>
    </row>
    <row r="78" spans="1:12" ht="15" x14ac:dyDescent="0.2">
      <c r="A78" s="734" t="s">
        <v>440</v>
      </c>
      <c r="B78" s="735" t="str">
        <f t="shared" si="25"/>
        <v>Tubulação D=60cm</v>
      </c>
      <c r="C78" s="708" t="str">
        <f t="shared" si="25"/>
        <v>m</v>
      </c>
      <c r="D78" s="733">
        <f t="shared" si="25"/>
        <v>75</v>
      </c>
      <c r="E78" s="733"/>
      <c r="F78" s="733"/>
      <c r="G78" s="733"/>
      <c r="H78" s="660" t="s">
        <v>144</v>
      </c>
      <c r="I78" s="736"/>
      <c r="J78" s="732">
        <f t="shared" ref="J78:J82" si="27">TRUNC(I78*D78,3)</f>
        <v>0</v>
      </c>
      <c r="K78" s="732">
        <f t="shared" si="26"/>
        <v>18</v>
      </c>
      <c r="L78" s="711">
        <f>TRUNC(K78-J78,3)</f>
        <v>18</v>
      </c>
    </row>
    <row r="79" spans="1:12" ht="15" x14ac:dyDescent="0.2">
      <c r="A79" s="734" t="s">
        <v>441</v>
      </c>
      <c r="B79" s="735" t="str">
        <f t="shared" si="25"/>
        <v>Tubulação D=80cm</v>
      </c>
      <c r="C79" s="708" t="str">
        <f t="shared" si="25"/>
        <v>m</v>
      </c>
      <c r="D79" s="733">
        <f t="shared" si="25"/>
        <v>143</v>
      </c>
      <c r="E79" s="733"/>
      <c r="F79" s="733"/>
      <c r="G79" s="733"/>
      <c r="H79" s="660" t="s">
        <v>144</v>
      </c>
      <c r="I79" s="736"/>
      <c r="J79" s="732">
        <f t="shared" si="27"/>
        <v>0</v>
      </c>
      <c r="K79" s="732">
        <f t="shared" si="26"/>
        <v>80.08</v>
      </c>
      <c r="L79" s="711">
        <f t="shared" ref="L79:L89" si="28">TRUNC(K79-J79,3)</f>
        <v>80.08</v>
      </c>
    </row>
    <row r="80" spans="1:12" ht="15" x14ac:dyDescent="0.2">
      <c r="A80" s="734" t="s">
        <v>442</v>
      </c>
      <c r="B80" s="735" t="str">
        <f t="shared" si="25"/>
        <v>Tubulação D=100cm</v>
      </c>
      <c r="C80" s="708" t="str">
        <f t="shared" si="25"/>
        <v>m</v>
      </c>
      <c r="D80" s="733">
        <f t="shared" si="25"/>
        <v>0</v>
      </c>
      <c r="E80" s="733"/>
      <c r="F80" s="733"/>
      <c r="G80" s="733"/>
      <c r="H80" s="660" t="s">
        <v>144</v>
      </c>
      <c r="I80" s="736"/>
      <c r="J80" s="732">
        <f t="shared" si="27"/>
        <v>0</v>
      </c>
      <c r="K80" s="732">
        <f t="shared" si="26"/>
        <v>0</v>
      </c>
      <c r="L80" s="711">
        <f t="shared" si="28"/>
        <v>0</v>
      </c>
    </row>
    <row r="81" spans="1:14" ht="15" x14ac:dyDescent="0.2">
      <c r="A81" s="734" t="s">
        <v>443</v>
      </c>
      <c r="B81" s="735" t="str">
        <f t="shared" si="25"/>
        <v>Tubulação D=120cm</v>
      </c>
      <c r="C81" s="708" t="str">
        <f t="shared" si="25"/>
        <v>m</v>
      </c>
      <c r="D81" s="733">
        <f t="shared" si="25"/>
        <v>0</v>
      </c>
      <c r="E81" s="733"/>
      <c r="F81" s="733"/>
      <c r="G81" s="733"/>
      <c r="H81" s="660" t="s">
        <v>144</v>
      </c>
      <c r="I81" s="736"/>
      <c r="J81" s="732">
        <f t="shared" si="27"/>
        <v>0</v>
      </c>
      <c r="K81" s="732">
        <f t="shared" si="26"/>
        <v>0</v>
      </c>
      <c r="L81" s="711">
        <f t="shared" si="28"/>
        <v>0</v>
      </c>
    </row>
    <row r="82" spans="1:14" ht="15" x14ac:dyDescent="0.2">
      <c r="A82" s="734" t="s">
        <v>444</v>
      </c>
      <c r="B82" s="735" t="str">
        <f t="shared" si="25"/>
        <v>Tubulação D=150cm</v>
      </c>
      <c r="C82" s="708" t="str">
        <f t="shared" si="25"/>
        <v>m</v>
      </c>
      <c r="D82" s="733">
        <f t="shared" si="25"/>
        <v>0</v>
      </c>
      <c r="E82" s="733"/>
      <c r="F82" s="733"/>
      <c r="G82" s="733"/>
      <c r="H82" s="660" t="s">
        <v>144</v>
      </c>
      <c r="I82" s="736"/>
      <c r="J82" s="732">
        <f t="shared" si="27"/>
        <v>0</v>
      </c>
      <c r="K82" s="732">
        <f t="shared" si="26"/>
        <v>0</v>
      </c>
      <c r="L82" s="711">
        <f t="shared" si="28"/>
        <v>0</v>
      </c>
    </row>
    <row r="83" spans="1:14" ht="15" x14ac:dyDescent="0.2">
      <c r="A83" s="734" t="s">
        <v>445</v>
      </c>
      <c r="B83" s="735" t="str">
        <f t="shared" si="25"/>
        <v>Boca de lobo simples</v>
      </c>
      <c r="C83" s="708" t="str">
        <f t="shared" si="25"/>
        <v>und</v>
      </c>
      <c r="D83" s="733">
        <f t="shared" si="25"/>
        <v>2</v>
      </c>
      <c r="E83" s="733">
        <f t="shared" ref="E83:E88" si="29">E66</f>
        <v>1.4</v>
      </c>
      <c r="F83" s="733">
        <f t="shared" ref="F83:F88" si="30">N16+O16-F66</f>
        <v>0</v>
      </c>
      <c r="G83" s="733">
        <f t="shared" ref="G83" si="31">G66</f>
        <v>1.4</v>
      </c>
      <c r="H83" s="730"/>
      <c r="I83" s="736"/>
      <c r="J83" s="732">
        <f>TRUNC(D83*E83*F83*G83,3)</f>
        <v>0</v>
      </c>
      <c r="K83" s="732">
        <f t="shared" si="26"/>
        <v>0</v>
      </c>
      <c r="L83" s="711">
        <f t="shared" si="28"/>
        <v>0</v>
      </c>
    </row>
    <row r="84" spans="1:14" ht="15" x14ac:dyDescent="0.2">
      <c r="A84" s="734" t="s">
        <v>446</v>
      </c>
      <c r="B84" s="735" t="str">
        <f t="shared" si="25"/>
        <v>Poço de Visita - Coletor de Ø120</v>
      </c>
      <c r="C84" s="708" t="str">
        <f t="shared" si="25"/>
        <v>und</v>
      </c>
      <c r="D84" s="733">
        <f t="shared" si="25"/>
        <v>0</v>
      </c>
      <c r="E84" s="733">
        <f t="shared" si="29"/>
        <v>1.7</v>
      </c>
      <c r="F84" s="733">
        <f t="shared" si="30"/>
        <v>1</v>
      </c>
      <c r="G84" s="733">
        <f>G67</f>
        <v>1.9</v>
      </c>
      <c r="H84" s="730"/>
      <c r="I84" s="736"/>
      <c r="J84" s="732">
        <f t="shared" ref="J84" si="32">TRUNC(D84*E84*F84*G84,3)</f>
        <v>0</v>
      </c>
      <c r="K84" s="732">
        <f t="shared" si="26"/>
        <v>0</v>
      </c>
      <c r="L84" s="711">
        <f t="shared" ref="L84" si="33">TRUNC(K84-J84,3)</f>
        <v>0</v>
      </c>
    </row>
    <row r="85" spans="1:14" ht="15" x14ac:dyDescent="0.2">
      <c r="A85" s="734" t="s">
        <v>447</v>
      </c>
      <c r="B85" s="735" t="str">
        <f t="shared" si="25"/>
        <v>Poço de Visita - Coletor de Ø100</v>
      </c>
      <c r="C85" s="708" t="str">
        <f t="shared" si="25"/>
        <v>und</v>
      </c>
      <c r="D85" s="733">
        <f t="shared" si="25"/>
        <v>0</v>
      </c>
      <c r="E85" s="733">
        <f t="shared" si="29"/>
        <v>1.5</v>
      </c>
      <c r="F85" s="733">
        <f t="shared" si="30"/>
        <v>0.8</v>
      </c>
      <c r="G85" s="733">
        <f>G68</f>
        <v>1.9</v>
      </c>
      <c r="H85" s="730"/>
      <c r="I85" s="736"/>
      <c r="J85" s="732">
        <f t="shared" ref="J85:J89" si="34">TRUNC(D85*E85*F85*G85,3)</f>
        <v>0</v>
      </c>
      <c r="K85" s="732">
        <f t="shared" si="26"/>
        <v>0</v>
      </c>
      <c r="L85" s="711">
        <f t="shared" si="28"/>
        <v>0</v>
      </c>
    </row>
    <row r="86" spans="1:14" ht="15" x14ac:dyDescent="0.2">
      <c r="A86" s="734" t="s">
        <v>448</v>
      </c>
      <c r="B86" s="735" t="str">
        <f t="shared" si="25"/>
        <v>Poço de Visita - Coletor de Ø80</v>
      </c>
      <c r="C86" s="708" t="str">
        <f t="shared" si="25"/>
        <v>und</v>
      </c>
      <c r="D86" s="733">
        <f t="shared" si="25"/>
        <v>2</v>
      </c>
      <c r="E86" s="733">
        <f t="shared" si="29"/>
        <v>1.4</v>
      </c>
      <c r="F86" s="733">
        <f t="shared" si="30"/>
        <v>0.5</v>
      </c>
      <c r="G86" s="733">
        <f>G69</f>
        <v>1.9</v>
      </c>
      <c r="H86" s="730"/>
      <c r="I86" s="736"/>
      <c r="J86" s="732">
        <f t="shared" si="34"/>
        <v>2.66</v>
      </c>
      <c r="K86" s="732">
        <f t="shared" si="26"/>
        <v>6.96</v>
      </c>
      <c r="L86" s="711">
        <f t="shared" si="28"/>
        <v>4.3</v>
      </c>
    </row>
    <row r="87" spans="1:14" ht="15" x14ac:dyDescent="0.2">
      <c r="A87" s="734" t="s">
        <v>449</v>
      </c>
      <c r="B87" s="735" t="str">
        <f t="shared" si="25"/>
        <v>Poço de Visita - Coletor de Ø60</v>
      </c>
      <c r="C87" s="708" t="str">
        <f t="shared" si="25"/>
        <v>und</v>
      </c>
      <c r="D87" s="733">
        <f t="shared" si="25"/>
        <v>1</v>
      </c>
      <c r="E87" s="733">
        <f t="shared" si="29"/>
        <v>1.3</v>
      </c>
      <c r="F87" s="733">
        <f t="shared" si="30"/>
        <v>0.3</v>
      </c>
      <c r="G87" s="733">
        <f>G70</f>
        <v>1.9</v>
      </c>
      <c r="H87" s="730"/>
      <c r="I87" s="736"/>
      <c r="J87" s="732">
        <f t="shared" si="34"/>
        <v>0.74099999999999999</v>
      </c>
      <c r="K87" s="732">
        <f t="shared" si="26"/>
        <v>2.0009999999999999</v>
      </c>
      <c r="L87" s="711">
        <f t="shared" si="28"/>
        <v>1.26</v>
      </c>
    </row>
    <row r="88" spans="1:14" ht="15" x14ac:dyDescent="0.2">
      <c r="A88" s="734" t="s">
        <v>450</v>
      </c>
      <c r="B88" s="735" t="str">
        <f t="shared" si="25"/>
        <v>Caixa Coletora</v>
      </c>
      <c r="C88" s="708" t="str">
        <f t="shared" si="25"/>
        <v>und</v>
      </c>
      <c r="D88" s="733">
        <f t="shared" si="25"/>
        <v>0</v>
      </c>
      <c r="E88" s="733">
        <f t="shared" si="29"/>
        <v>1.5</v>
      </c>
      <c r="F88" s="733">
        <f t="shared" si="30"/>
        <v>1</v>
      </c>
      <c r="G88" s="733">
        <f>G71</f>
        <v>1.9</v>
      </c>
      <c r="H88" s="730"/>
      <c r="I88" s="736"/>
      <c r="J88" s="732">
        <f t="shared" si="34"/>
        <v>0</v>
      </c>
      <c r="K88" s="732">
        <f t="shared" si="26"/>
        <v>0</v>
      </c>
      <c r="L88" s="711">
        <f t="shared" si="28"/>
        <v>0</v>
      </c>
    </row>
    <row r="89" spans="1:14" ht="15" x14ac:dyDescent="0.2">
      <c r="A89" s="734" t="s">
        <v>484</v>
      </c>
      <c r="B89" s="735" t="str">
        <f t="shared" si="25"/>
        <v>Dissipador de energia</v>
      </c>
      <c r="C89" s="708" t="str">
        <f t="shared" si="25"/>
        <v>und</v>
      </c>
      <c r="D89" s="733">
        <f t="shared" si="25"/>
        <v>0</v>
      </c>
      <c r="E89" s="733"/>
      <c r="F89" s="733"/>
      <c r="G89" s="733"/>
      <c r="H89" s="730"/>
      <c r="I89" s="736"/>
      <c r="J89" s="732">
        <f t="shared" si="34"/>
        <v>0</v>
      </c>
      <c r="K89" s="732">
        <f t="shared" si="26"/>
        <v>0</v>
      </c>
      <c r="L89" s="711">
        <f t="shared" si="28"/>
        <v>0</v>
      </c>
    </row>
    <row r="90" spans="1:14" ht="15" x14ac:dyDescent="0.2">
      <c r="A90" s="734"/>
      <c r="B90" s="735"/>
      <c r="C90" s="708"/>
      <c r="D90" s="733"/>
      <c r="E90" s="733"/>
      <c r="F90" s="733"/>
      <c r="G90" s="733"/>
      <c r="H90" s="730"/>
      <c r="I90" s="736"/>
      <c r="J90" s="730"/>
      <c r="K90" s="737"/>
      <c r="L90" s="738"/>
    </row>
    <row r="91" spans="1:14" ht="14.25" x14ac:dyDescent="0.2">
      <c r="A91" s="739" t="s">
        <v>451</v>
      </c>
      <c r="B91" s="1067" t="s">
        <v>54</v>
      </c>
      <c r="C91" s="1067"/>
      <c r="D91" s="1067"/>
      <c r="E91" s="1067"/>
      <c r="F91" s="1067"/>
      <c r="G91" s="1067"/>
      <c r="H91" s="1067"/>
      <c r="I91" s="1067"/>
      <c r="J91" s="740" t="s">
        <v>5</v>
      </c>
      <c r="K91" s="1068">
        <f>SUM(L92:L98)</f>
        <v>69.5</v>
      </c>
      <c r="L91" s="1069"/>
    </row>
    <row r="92" spans="1:14" ht="15" x14ac:dyDescent="0.2">
      <c r="A92" s="739" t="s">
        <v>0</v>
      </c>
      <c r="B92" s="740" t="s">
        <v>137</v>
      </c>
      <c r="C92" s="740" t="s">
        <v>2</v>
      </c>
      <c r="D92" s="740" t="s">
        <v>3</v>
      </c>
      <c r="E92" s="1070" t="s">
        <v>452</v>
      </c>
      <c r="F92" s="1070"/>
      <c r="G92" s="1070"/>
      <c r="H92" s="740"/>
      <c r="I92" s="740"/>
      <c r="J92" s="741"/>
      <c r="K92" s="1071" t="s">
        <v>13</v>
      </c>
      <c r="L92" s="1072"/>
    </row>
    <row r="93" spans="1:14" ht="15" x14ac:dyDescent="0.2">
      <c r="A93" s="443" t="s">
        <v>439</v>
      </c>
      <c r="B93" s="707" t="s">
        <v>76</v>
      </c>
      <c r="C93" s="708" t="s">
        <v>5</v>
      </c>
      <c r="D93" s="709">
        <f t="shared" ref="D93:D98" si="35">D10</f>
        <v>60</v>
      </c>
      <c r="E93" s="1065">
        <v>4</v>
      </c>
      <c r="F93" s="1065"/>
      <c r="G93" s="1065"/>
      <c r="H93" s="710"/>
      <c r="I93" s="710"/>
      <c r="J93" s="710"/>
      <c r="K93" s="710"/>
      <c r="L93" s="724">
        <f>D93/E93</f>
        <v>15</v>
      </c>
    </row>
    <row r="94" spans="1:14" ht="15" x14ac:dyDescent="0.2">
      <c r="A94" s="443" t="s">
        <v>440</v>
      </c>
      <c r="B94" s="707" t="s">
        <v>77</v>
      </c>
      <c r="C94" s="708" t="s">
        <v>5</v>
      </c>
      <c r="D94" s="709">
        <f t="shared" si="35"/>
        <v>75</v>
      </c>
      <c r="E94" s="1065">
        <f>E93</f>
        <v>4</v>
      </c>
      <c r="F94" s="1065"/>
      <c r="G94" s="1065"/>
      <c r="H94" s="710"/>
      <c r="I94" s="710"/>
      <c r="J94" s="710"/>
      <c r="K94" s="710"/>
      <c r="L94" s="724">
        <f t="shared" ref="L94:L98" si="36">D94/E94</f>
        <v>18.75</v>
      </c>
    </row>
    <row r="95" spans="1:14" ht="15" x14ac:dyDescent="0.2">
      <c r="A95" s="443" t="s">
        <v>441</v>
      </c>
      <c r="B95" s="712" t="s">
        <v>81</v>
      </c>
      <c r="C95" s="672" t="s">
        <v>5</v>
      </c>
      <c r="D95" s="709">
        <f t="shared" si="35"/>
        <v>143</v>
      </c>
      <c r="E95" s="1065">
        <f t="shared" ref="E95:E98" si="37">E94</f>
        <v>4</v>
      </c>
      <c r="F95" s="1065"/>
      <c r="G95" s="1065"/>
      <c r="H95" s="710"/>
      <c r="I95" s="710"/>
      <c r="J95" s="710"/>
      <c r="K95" s="710"/>
      <c r="L95" s="724">
        <f t="shared" si="36"/>
        <v>35.75</v>
      </c>
    </row>
    <row r="96" spans="1:14" ht="15" x14ac:dyDescent="0.2">
      <c r="A96" s="443" t="s">
        <v>442</v>
      </c>
      <c r="B96" s="712" t="s">
        <v>82</v>
      </c>
      <c r="C96" s="672" t="s">
        <v>5</v>
      </c>
      <c r="D96" s="709">
        <f t="shared" si="35"/>
        <v>0</v>
      </c>
      <c r="E96" s="1065">
        <f t="shared" si="37"/>
        <v>4</v>
      </c>
      <c r="F96" s="1065"/>
      <c r="G96" s="1065"/>
      <c r="H96" s="710"/>
      <c r="I96" s="710"/>
      <c r="J96" s="710"/>
      <c r="K96" s="710"/>
      <c r="L96" s="724">
        <f t="shared" si="36"/>
        <v>0</v>
      </c>
      <c r="M96" s="1"/>
      <c r="N96" s="1"/>
    </row>
    <row r="97" spans="1:14" ht="15" x14ac:dyDescent="0.2">
      <c r="A97" s="443" t="s">
        <v>443</v>
      </c>
      <c r="B97" s="707" t="s">
        <v>83</v>
      </c>
      <c r="C97" s="708" t="s">
        <v>5</v>
      </c>
      <c r="D97" s="709">
        <f t="shared" si="35"/>
        <v>0</v>
      </c>
      <c r="E97" s="1065">
        <f t="shared" si="37"/>
        <v>4</v>
      </c>
      <c r="F97" s="1065"/>
      <c r="G97" s="1065"/>
      <c r="H97" s="710"/>
      <c r="I97" s="710"/>
      <c r="J97" s="710"/>
      <c r="K97" s="710"/>
      <c r="L97" s="724">
        <f t="shared" si="36"/>
        <v>0</v>
      </c>
      <c r="M97" s="14"/>
      <c r="N97" s="1"/>
    </row>
    <row r="98" spans="1:14" ht="15.75" thickBot="1" x14ac:dyDescent="0.25">
      <c r="A98" s="743" t="s">
        <v>444</v>
      </c>
      <c r="B98" s="744" t="s">
        <v>84</v>
      </c>
      <c r="C98" s="745" t="s">
        <v>5</v>
      </c>
      <c r="D98" s="746">
        <f t="shared" si="35"/>
        <v>0</v>
      </c>
      <c r="E98" s="1066">
        <f t="shared" si="37"/>
        <v>4</v>
      </c>
      <c r="F98" s="1066"/>
      <c r="G98" s="1066"/>
      <c r="H98" s="747"/>
      <c r="I98" s="747"/>
      <c r="J98" s="747"/>
      <c r="K98" s="747"/>
      <c r="L98" s="748">
        <f t="shared" si="36"/>
        <v>0</v>
      </c>
      <c r="M98" s="15"/>
      <c r="N98" s="1"/>
    </row>
    <row r="99" spans="1:14" ht="15" x14ac:dyDescent="0.2">
      <c r="A99" s="298"/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</row>
    <row r="100" spans="1:14" ht="15" x14ac:dyDescent="0.2">
      <c r="A100" s="298"/>
      <c r="B100" s="299" t="str">
        <f>Terrap.!B26</f>
        <v>Robson Darcio Sousa</v>
      </c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</row>
    <row r="101" spans="1:14" ht="15" x14ac:dyDescent="0.2">
      <c r="A101" s="298"/>
      <c r="B101" s="298" t="str">
        <f>Terrap.!B27</f>
        <v>ENGº CIVIL</v>
      </c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</row>
  </sheetData>
  <mergeCells count="48">
    <mergeCell ref="A7:L7"/>
    <mergeCell ref="A1:L1"/>
    <mergeCell ref="A2:L2"/>
    <mergeCell ref="B3:L3"/>
    <mergeCell ref="G5:I5"/>
    <mergeCell ref="J4:L6"/>
    <mergeCell ref="B4:I4"/>
    <mergeCell ref="B5:E5"/>
    <mergeCell ref="B6:E6"/>
    <mergeCell ref="B9:I9"/>
    <mergeCell ref="K9:L9"/>
    <mergeCell ref="B23:I23"/>
    <mergeCell ref="K23:L23"/>
    <mergeCell ref="B37:G37"/>
    <mergeCell ref="B43:I43"/>
    <mergeCell ref="K43:L43"/>
    <mergeCell ref="B57:I57"/>
    <mergeCell ref="K57:L57"/>
    <mergeCell ref="A58:A59"/>
    <mergeCell ref="B58:B59"/>
    <mergeCell ref="C58:C59"/>
    <mergeCell ref="D58:D59"/>
    <mergeCell ref="E58:G58"/>
    <mergeCell ref="H58:I59"/>
    <mergeCell ref="J58:J59"/>
    <mergeCell ref="K58:K59"/>
    <mergeCell ref="L58:L59"/>
    <mergeCell ref="B74:I74"/>
    <mergeCell ref="K74:L74"/>
    <mergeCell ref="A75:A76"/>
    <mergeCell ref="B75:B76"/>
    <mergeCell ref="C75:C76"/>
    <mergeCell ref="D75:D76"/>
    <mergeCell ref="E75:G75"/>
    <mergeCell ref="H75:I76"/>
    <mergeCell ref="J75:J76"/>
    <mergeCell ref="K75:K76"/>
    <mergeCell ref="L75:L76"/>
    <mergeCell ref="B91:I91"/>
    <mergeCell ref="K91:L91"/>
    <mergeCell ref="E92:G92"/>
    <mergeCell ref="K92:L92"/>
    <mergeCell ref="E93:G93"/>
    <mergeCell ref="E94:G94"/>
    <mergeCell ref="E95:G95"/>
    <mergeCell ref="E96:G96"/>
    <mergeCell ref="E97:G97"/>
    <mergeCell ref="E98:G9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6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tabColor rgb="FFFFFF00"/>
    <pageSetUpPr fitToPage="1"/>
  </sheetPr>
  <dimension ref="A1:T91"/>
  <sheetViews>
    <sheetView view="pageBreakPreview" zoomScaleSheetLayoutView="100" workbookViewId="0">
      <selection activeCell="E66" sqref="E66"/>
    </sheetView>
  </sheetViews>
  <sheetFormatPr defaultColWidth="9.140625" defaultRowHeight="12.75" x14ac:dyDescent="0.2"/>
  <cols>
    <col min="1" max="1" width="12.42578125" style="108" customWidth="1"/>
    <col min="2" max="2" width="68.140625" style="108" customWidth="1"/>
    <col min="3" max="3" width="13" style="108" customWidth="1"/>
    <col min="4" max="4" width="8" style="108" bestFit="1" customWidth="1"/>
    <col min="5" max="15" width="12.140625" style="108" customWidth="1"/>
    <col min="16" max="16" width="7.28515625" style="108" customWidth="1"/>
    <col min="17" max="17" width="12.28515625" style="108" customWidth="1"/>
    <col min="18" max="18" width="7.140625" style="108" bestFit="1" customWidth="1"/>
    <col min="19" max="19" width="9.140625" style="108"/>
    <col min="20" max="20" width="9.28515625" style="108" bestFit="1" customWidth="1"/>
    <col min="21" max="16384" width="9.140625" style="108"/>
  </cols>
  <sheetData>
    <row r="1" spans="1:20" ht="22.5" customHeight="1" x14ac:dyDescent="0.2">
      <c r="A1" s="1047" t="str">
        <f>Terrap.!A1</f>
        <v>ESTADO DE MATO GROSSO</v>
      </c>
      <c r="B1" s="1048"/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  <c r="N1" s="1048"/>
      <c r="O1" s="1048"/>
      <c r="P1" s="1048"/>
      <c r="Q1" s="1048"/>
      <c r="R1" s="1049"/>
    </row>
    <row r="2" spans="1:20" ht="25.5" customHeight="1" x14ac:dyDescent="0.2">
      <c r="A2" s="1050" t="str">
        <f>Terrap.!A2</f>
        <v xml:space="preserve">PREFEITURA MUNICIPAL DE BARRA DO BUGRES </v>
      </c>
      <c r="B2" s="1051"/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1051"/>
      <c r="R2" s="1052"/>
    </row>
    <row r="3" spans="1:20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134" t="str">
        <f>Terrap.!I3</f>
        <v>SINAPI - JULHO / 2020    DESONERADO                                                                                                                           SICRO 10/2019</v>
      </c>
      <c r="Q3" s="1135"/>
      <c r="R3" s="1136"/>
    </row>
    <row r="4" spans="1:20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137"/>
      <c r="Q4" s="1138"/>
      <c r="R4" s="1139"/>
    </row>
    <row r="5" spans="1:20" ht="15.75" customHeight="1" x14ac:dyDescent="0.2">
      <c r="A5" s="385" t="s">
        <v>58</v>
      </c>
      <c r="B5" s="1251" t="str">
        <f>Terrap.!B5</f>
        <v xml:space="preserve">PREFEITURA MUNICIPAL DE BARRA DO BUGRES </v>
      </c>
      <c r="C5" s="1430"/>
      <c r="D5" s="1430"/>
      <c r="E5" s="1430"/>
      <c r="F5" s="1430"/>
      <c r="G5" s="1430"/>
      <c r="H5" s="1430"/>
      <c r="I5" s="1430"/>
      <c r="J5" s="1430"/>
      <c r="K5" s="1431"/>
      <c r="L5" s="387" t="s">
        <v>362</v>
      </c>
      <c r="M5" s="1055" t="str">
        <f>Terrap.!F5</f>
        <v>AGOSTO 2020</v>
      </c>
      <c r="N5" s="1055"/>
      <c r="O5" s="1055"/>
      <c r="P5" s="1137"/>
      <c r="Q5" s="1138"/>
      <c r="R5" s="1139"/>
    </row>
    <row r="6" spans="1:20" ht="26.25" customHeight="1" thickBot="1" x14ac:dyDescent="0.25">
      <c r="A6" s="388" t="s">
        <v>59</v>
      </c>
      <c r="B6" s="1432">
        <f>Pavim.!B6</f>
        <v>31131.72</v>
      </c>
      <c r="C6" s="1433"/>
      <c r="D6" s="1433"/>
      <c r="E6" s="1433"/>
      <c r="F6" s="1433"/>
      <c r="G6" s="1433"/>
      <c r="H6" s="1433"/>
      <c r="I6" s="1433"/>
      <c r="J6" s="1433"/>
      <c r="K6" s="1434"/>
      <c r="L6" s="389" t="s">
        <v>60</v>
      </c>
      <c r="M6" s="390">
        <f>Terrap.!F6</f>
        <v>0.25640000000000002</v>
      </c>
      <c r="N6" s="1429" t="s">
        <v>61</v>
      </c>
      <c r="O6" s="1429"/>
      <c r="P6" s="1140"/>
      <c r="Q6" s="1141"/>
      <c r="R6" s="1142"/>
    </row>
    <row r="7" spans="1:20" ht="33" customHeight="1" thickBot="1" x14ac:dyDescent="0.25">
      <c r="A7" s="1415" t="s">
        <v>9</v>
      </c>
      <c r="B7" s="1416"/>
      <c r="C7" s="1416"/>
      <c r="D7" s="1416"/>
      <c r="E7" s="1416"/>
      <c r="F7" s="1416"/>
      <c r="G7" s="1416"/>
      <c r="H7" s="1416"/>
      <c r="I7" s="1416"/>
      <c r="J7" s="1416"/>
      <c r="K7" s="1416"/>
      <c r="L7" s="1416"/>
      <c r="M7" s="1416"/>
      <c r="N7" s="1416"/>
      <c r="O7" s="1416"/>
      <c r="P7" s="1416"/>
      <c r="Q7" s="1416"/>
      <c r="R7" s="1440"/>
    </row>
    <row r="8" spans="1:20" ht="13.5" thickBot="1" x14ac:dyDescent="0.25">
      <c r="A8" s="1445" t="s">
        <v>0</v>
      </c>
      <c r="B8" s="1448" t="s">
        <v>10</v>
      </c>
      <c r="C8" s="1451" t="s">
        <v>11</v>
      </c>
      <c r="D8" s="1451"/>
      <c r="E8" s="1452" t="s">
        <v>12</v>
      </c>
      <c r="F8" s="1453"/>
      <c r="G8" s="1453"/>
      <c r="H8" s="1453"/>
      <c r="I8" s="1453"/>
      <c r="J8" s="1453"/>
      <c r="K8" s="1453"/>
      <c r="L8" s="1453"/>
      <c r="M8" s="1453"/>
      <c r="N8" s="1453"/>
      <c r="O8" s="1453"/>
      <c r="P8" s="1453"/>
      <c r="Q8" s="1453"/>
      <c r="R8" s="1454"/>
    </row>
    <row r="9" spans="1:20" ht="13.5" thickBot="1" x14ac:dyDescent="0.25">
      <c r="A9" s="1446"/>
      <c r="B9" s="1449"/>
      <c r="C9" s="1451"/>
      <c r="D9" s="1451"/>
      <c r="E9" s="1438" t="s">
        <v>271</v>
      </c>
      <c r="F9" s="1439"/>
      <c r="G9" s="1455" t="s">
        <v>266</v>
      </c>
      <c r="H9" s="1439"/>
      <c r="I9" s="1438" t="s">
        <v>272</v>
      </c>
      <c r="J9" s="1439"/>
      <c r="K9" s="1438" t="s">
        <v>267</v>
      </c>
      <c r="L9" s="1439"/>
      <c r="M9" s="1438" t="s">
        <v>273</v>
      </c>
      <c r="N9" s="1439"/>
      <c r="O9" s="1438" t="s">
        <v>275</v>
      </c>
      <c r="P9" s="1439"/>
      <c r="Q9" s="1438" t="s">
        <v>13</v>
      </c>
      <c r="R9" s="1439"/>
    </row>
    <row r="10" spans="1:20" ht="13.5" thickBot="1" x14ac:dyDescent="0.25">
      <c r="A10" s="1447"/>
      <c r="B10" s="1450"/>
      <c r="C10" s="32" t="s">
        <v>14</v>
      </c>
      <c r="D10" s="33" t="s">
        <v>15</v>
      </c>
      <c r="E10" s="355" t="s">
        <v>14</v>
      </c>
      <c r="F10" s="33" t="s">
        <v>15</v>
      </c>
      <c r="G10" s="45" t="s">
        <v>16</v>
      </c>
      <c r="H10" s="34" t="s">
        <v>15</v>
      </c>
      <c r="I10" s="45" t="s">
        <v>16</v>
      </c>
      <c r="J10" s="34" t="s">
        <v>15</v>
      </c>
      <c r="K10" s="45" t="s">
        <v>16</v>
      </c>
      <c r="L10" s="34" t="s">
        <v>15</v>
      </c>
      <c r="M10" s="45" t="s">
        <v>16</v>
      </c>
      <c r="N10" s="34" t="s">
        <v>15</v>
      </c>
      <c r="O10" s="45" t="s">
        <v>16</v>
      </c>
      <c r="P10" s="34" t="s">
        <v>15</v>
      </c>
      <c r="Q10" s="45" t="s">
        <v>16</v>
      </c>
      <c r="R10" s="34" t="s">
        <v>15</v>
      </c>
    </row>
    <row r="11" spans="1:20" s="302" customFormat="1" x14ac:dyDescent="0.2">
      <c r="A11" s="307">
        <f>Resumo!A10</f>
        <v>1</v>
      </c>
      <c r="B11" s="341" t="str">
        <f>Resumo!B10</f>
        <v>SERVIÇOS PRELIMINARES</v>
      </c>
      <c r="C11" s="312"/>
      <c r="D11" s="313"/>
      <c r="E11" s="312"/>
      <c r="F11" s="314"/>
      <c r="G11" s="312"/>
      <c r="H11" s="315"/>
      <c r="I11" s="312"/>
      <c r="J11" s="314"/>
      <c r="K11" s="312"/>
      <c r="L11" s="314"/>
      <c r="M11" s="312"/>
      <c r="N11" s="314"/>
      <c r="O11" s="312"/>
      <c r="P11" s="314"/>
      <c r="Q11" s="312"/>
      <c r="R11" s="316"/>
    </row>
    <row r="12" spans="1:20" s="302" customFormat="1" x14ac:dyDescent="0.2">
      <c r="A12" s="357" t="e">
        <f>Orçam.!#REF!</f>
        <v>#REF!</v>
      </c>
      <c r="B12" s="308" t="e">
        <f>Orçam.!#REF!</f>
        <v>#REF!</v>
      </c>
      <c r="C12" s="317" t="e">
        <f>Orçam.!#REF!</f>
        <v>#REF!</v>
      </c>
      <c r="D12" s="318" t="e">
        <f>C12/C85</f>
        <v>#REF!</v>
      </c>
      <c r="E12" s="317" t="e">
        <f t="shared" ref="E12:E16" si="0">$C12*F12/100</f>
        <v>#REF!</v>
      </c>
      <c r="F12" s="319">
        <v>100</v>
      </c>
      <c r="G12" s="317"/>
      <c r="H12" s="316"/>
      <c r="I12" s="317"/>
      <c r="J12" s="319"/>
      <c r="K12" s="317"/>
      <c r="L12" s="319"/>
      <c r="M12" s="317"/>
      <c r="N12" s="319"/>
      <c r="O12" s="317"/>
      <c r="P12" s="319"/>
      <c r="Q12" s="317" t="e">
        <f t="shared" ref="Q12:Q16" si="1">E12+G12+I12+K12+M12+O12</f>
        <v>#REF!</v>
      </c>
      <c r="R12" s="316">
        <f t="shared" ref="R12:R16" si="2">F12+H12+J12+L12</f>
        <v>100</v>
      </c>
      <c r="T12" s="342" t="e">
        <f>C12-Q12</f>
        <v>#REF!</v>
      </c>
    </row>
    <row r="13" spans="1:20" s="302" customFormat="1" x14ac:dyDescent="0.2">
      <c r="A13" s="357" t="str">
        <f>Orçam.!A10</f>
        <v>1.1</v>
      </c>
      <c r="B13" s="308" t="str">
        <f>Orçam.!D10</f>
        <v>PLACA DE OBRA EM CHAPA DE ACO GALVANIZADO (1,00 UNIDADE)</v>
      </c>
      <c r="C13" s="317">
        <f>Orçam.!I10</f>
        <v>1477.49</v>
      </c>
      <c r="D13" s="318" t="e">
        <f>C13/C85</f>
        <v>#REF!</v>
      </c>
      <c r="E13" s="317">
        <f t="shared" si="0"/>
        <v>1477.49</v>
      </c>
      <c r="F13" s="319">
        <v>100</v>
      </c>
      <c r="G13" s="317"/>
      <c r="H13" s="316"/>
      <c r="I13" s="317"/>
      <c r="J13" s="319"/>
      <c r="K13" s="317"/>
      <c r="L13" s="319"/>
      <c r="M13" s="317"/>
      <c r="N13" s="319"/>
      <c r="O13" s="317"/>
      <c r="P13" s="319"/>
      <c r="Q13" s="317">
        <f t="shared" si="1"/>
        <v>1477.49</v>
      </c>
      <c r="R13" s="316">
        <f t="shared" si="2"/>
        <v>100</v>
      </c>
      <c r="T13" s="342">
        <f t="shared" ref="T13:T76" si="3">C13-Q13</f>
        <v>0</v>
      </c>
    </row>
    <row r="14" spans="1:20" s="302" customFormat="1" x14ac:dyDescent="0.2">
      <c r="A14" s="357" t="e">
        <f>Orçam.!#REF!</f>
        <v>#REF!</v>
      </c>
      <c r="B14" s="308" t="e">
        <f>Orçam.!#REF!</f>
        <v>#REF!</v>
      </c>
      <c r="C14" s="317" t="e">
        <f>Orçam.!#REF!</f>
        <v>#REF!</v>
      </c>
      <c r="D14" s="318" t="e">
        <f>C14/$C$85</f>
        <v>#REF!</v>
      </c>
      <c r="E14" s="317" t="e">
        <f t="shared" si="0"/>
        <v>#REF!</v>
      </c>
      <c r="F14" s="319">
        <v>100</v>
      </c>
      <c r="G14" s="317"/>
      <c r="H14" s="316"/>
      <c r="I14" s="317"/>
      <c r="J14" s="319"/>
      <c r="K14" s="317"/>
      <c r="L14" s="319"/>
      <c r="M14" s="317"/>
      <c r="N14" s="319"/>
      <c r="O14" s="317"/>
      <c r="P14" s="319"/>
      <c r="Q14" s="317" t="e">
        <f t="shared" si="1"/>
        <v>#REF!</v>
      </c>
      <c r="R14" s="316">
        <f t="shared" si="2"/>
        <v>100</v>
      </c>
      <c r="T14" s="342" t="e">
        <f t="shared" si="3"/>
        <v>#REF!</v>
      </c>
    </row>
    <row r="15" spans="1:20" s="302" customFormat="1" x14ac:dyDescent="0.2">
      <c r="A15" s="357" t="e">
        <f>Orçam.!#REF!</f>
        <v>#REF!</v>
      </c>
      <c r="B15" s="308" t="e">
        <f>Orçam.!#REF!</f>
        <v>#REF!</v>
      </c>
      <c r="C15" s="317" t="e">
        <f>Orçam.!#REF!</f>
        <v>#REF!</v>
      </c>
      <c r="D15" s="318" t="e">
        <f>C15/$C$85</f>
        <v>#REF!</v>
      </c>
      <c r="E15" s="317" t="e">
        <f t="shared" si="0"/>
        <v>#REF!</v>
      </c>
      <c r="F15" s="319">
        <v>100</v>
      </c>
      <c r="G15" s="317"/>
      <c r="H15" s="316"/>
      <c r="I15" s="317"/>
      <c r="J15" s="319"/>
      <c r="K15" s="317"/>
      <c r="L15" s="319"/>
      <c r="M15" s="317"/>
      <c r="N15" s="319"/>
      <c r="O15" s="317"/>
      <c r="P15" s="319"/>
      <c r="Q15" s="317" t="e">
        <f t="shared" si="1"/>
        <v>#REF!</v>
      </c>
      <c r="R15" s="316">
        <f t="shared" si="2"/>
        <v>100</v>
      </c>
      <c r="T15" s="342" t="e">
        <f t="shared" si="3"/>
        <v>#REF!</v>
      </c>
    </row>
    <row r="16" spans="1:20" s="343" customFormat="1" x14ac:dyDescent="0.2">
      <c r="A16" s="357" t="e">
        <f>Orçam.!#REF!</f>
        <v>#REF!</v>
      </c>
      <c r="B16" s="308" t="e">
        <f>Orçam.!#REF!</f>
        <v>#REF!</v>
      </c>
      <c r="C16" s="317" t="e">
        <f>Orçam.!#REF!</f>
        <v>#REF!</v>
      </c>
      <c r="D16" s="318" t="e">
        <f>C16/$C$85</f>
        <v>#REF!</v>
      </c>
      <c r="E16" s="317" t="e">
        <f t="shared" si="0"/>
        <v>#REF!</v>
      </c>
      <c r="F16" s="319">
        <v>100</v>
      </c>
      <c r="G16" s="320"/>
      <c r="H16" s="321"/>
      <c r="I16" s="320"/>
      <c r="J16" s="319"/>
      <c r="K16" s="317"/>
      <c r="L16" s="319"/>
      <c r="M16" s="317"/>
      <c r="N16" s="319"/>
      <c r="O16" s="317"/>
      <c r="P16" s="319"/>
      <c r="Q16" s="317" t="e">
        <f t="shared" si="1"/>
        <v>#REF!</v>
      </c>
      <c r="R16" s="316">
        <f t="shared" si="2"/>
        <v>100</v>
      </c>
      <c r="T16" s="342" t="e">
        <f t="shared" si="3"/>
        <v>#REF!</v>
      </c>
    </row>
    <row r="17" spans="1:20" s="343" customFormat="1" x14ac:dyDescent="0.2">
      <c r="A17" s="357"/>
      <c r="B17" s="308"/>
      <c r="C17" s="317"/>
      <c r="D17" s="318"/>
      <c r="E17" s="317"/>
      <c r="F17" s="319"/>
      <c r="G17" s="320"/>
      <c r="H17" s="321"/>
      <c r="I17" s="320"/>
      <c r="J17" s="319"/>
      <c r="K17" s="317"/>
      <c r="L17" s="319"/>
      <c r="M17" s="317"/>
      <c r="N17" s="319"/>
      <c r="O17" s="317"/>
      <c r="P17" s="319"/>
      <c r="Q17" s="317"/>
      <c r="R17" s="316"/>
      <c r="T17" s="342">
        <f t="shared" si="3"/>
        <v>0</v>
      </c>
    </row>
    <row r="18" spans="1:20" s="345" customFormat="1" x14ac:dyDescent="0.2">
      <c r="A18" s="306" t="e">
        <f>Resumo!#REF!</f>
        <v>#REF!</v>
      </c>
      <c r="B18" s="344" t="e">
        <f>Resumo!#REF!</f>
        <v>#REF!</v>
      </c>
      <c r="C18" s="312"/>
      <c r="D18" s="318"/>
      <c r="E18" s="312"/>
      <c r="F18" s="314"/>
      <c r="G18" s="312"/>
      <c r="H18" s="322"/>
      <c r="I18" s="312"/>
      <c r="J18" s="314"/>
      <c r="K18" s="312"/>
      <c r="L18" s="314"/>
      <c r="M18" s="312"/>
      <c r="N18" s="314"/>
      <c r="O18" s="312"/>
      <c r="P18" s="314"/>
      <c r="Q18" s="312"/>
      <c r="R18" s="316"/>
      <c r="T18" s="342">
        <f t="shared" si="3"/>
        <v>0</v>
      </c>
    </row>
    <row r="19" spans="1:20" s="345" customFormat="1" x14ac:dyDescent="0.2">
      <c r="A19" s="309" t="e">
        <f>Orçam.!#REF!</f>
        <v>#REF!</v>
      </c>
      <c r="B19" s="346" t="e">
        <f>Orçam.!#REF!</f>
        <v>#REF!</v>
      </c>
      <c r="C19" s="317" t="e">
        <f>Orçam.!#REF!</f>
        <v>#REF!</v>
      </c>
      <c r="D19" s="318" t="e">
        <f>C19/$C$85</f>
        <v>#REF!</v>
      </c>
      <c r="E19" s="317" t="e">
        <f t="shared" ref="E19:E22" si="4">$C19*F19/100</f>
        <v>#REF!</v>
      </c>
      <c r="F19" s="319">
        <v>20</v>
      </c>
      <c r="G19" s="317" t="e">
        <f t="shared" ref="G19:G22" si="5">$C19*H19/100</f>
        <v>#REF!</v>
      </c>
      <c r="H19" s="321">
        <v>20</v>
      </c>
      <c r="I19" s="317" t="e">
        <f t="shared" ref="I19:I22" si="6">$C19*J19/100</f>
        <v>#REF!</v>
      </c>
      <c r="J19" s="319">
        <v>20</v>
      </c>
      <c r="K19" s="317" t="e">
        <f t="shared" ref="K19:K22" si="7">$C19*L19/100</f>
        <v>#REF!</v>
      </c>
      <c r="L19" s="319">
        <v>20</v>
      </c>
      <c r="M19" s="317" t="e">
        <f t="shared" ref="M19:M22" si="8">$C19*N19/100</f>
        <v>#REF!</v>
      </c>
      <c r="N19" s="319">
        <v>10</v>
      </c>
      <c r="O19" s="317" t="e">
        <f>$C19*P19/100</f>
        <v>#REF!</v>
      </c>
      <c r="P19" s="319">
        <v>10</v>
      </c>
      <c r="Q19" s="317" t="e">
        <f t="shared" ref="Q19:R53" si="9">E19+G19+I19+K19+M19+O19</f>
        <v>#REF!</v>
      </c>
      <c r="R19" s="316">
        <f t="shared" si="9"/>
        <v>100</v>
      </c>
      <c r="T19" s="342" t="e">
        <f t="shared" si="3"/>
        <v>#REF!</v>
      </c>
    </row>
    <row r="20" spans="1:20" s="345" customFormat="1" x14ac:dyDescent="0.2">
      <c r="A20" s="309" t="e">
        <f>Orçam.!#REF!</f>
        <v>#REF!</v>
      </c>
      <c r="B20" s="346" t="e">
        <f>Orçam.!#REF!</f>
        <v>#REF!</v>
      </c>
      <c r="C20" s="317" t="e">
        <f>Orçam.!#REF!</f>
        <v>#REF!</v>
      </c>
      <c r="D20" s="318" t="e">
        <f>C20/$C$85</f>
        <v>#REF!</v>
      </c>
      <c r="E20" s="317" t="e">
        <f t="shared" si="4"/>
        <v>#REF!</v>
      </c>
      <c r="F20" s="319">
        <v>20</v>
      </c>
      <c r="G20" s="317" t="e">
        <f t="shared" si="5"/>
        <v>#REF!</v>
      </c>
      <c r="H20" s="321">
        <v>20</v>
      </c>
      <c r="I20" s="317" t="e">
        <f t="shared" si="6"/>
        <v>#REF!</v>
      </c>
      <c r="J20" s="319">
        <v>20</v>
      </c>
      <c r="K20" s="317" t="e">
        <f t="shared" si="7"/>
        <v>#REF!</v>
      </c>
      <c r="L20" s="319">
        <v>20</v>
      </c>
      <c r="M20" s="317" t="e">
        <f t="shared" si="8"/>
        <v>#REF!</v>
      </c>
      <c r="N20" s="319">
        <v>10</v>
      </c>
      <c r="O20" s="317" t="e">
        <f>$C20*P20/100</f>
        <v>#REF!</v>
      </c>
      <c r="P20" s="319">
        <v>10</v>
      </c>
      <c r="Q20" s="317" t="e">
        <f t="shared" si="9"/>
        <v>#REF!</v>
      </c>
      <c r="R20" s="316">
        <f t="shared" si="9"/>
        <v>100</v>
      </c>
      <c r="T20" s="342" t="e">
        <f t="shared" si="3"/>
        <v>#REF!</v>
      </c>
    </row>
    <row r="21" spans="1:20" s="345" customFormat="1" x14ac:dyDescent="0.2">
      <c r="A21" s="309" t="e">
        <f>Orçam.!#REF!</f>
        <v>#REF!</v>
      </c>
      <c r="B21" s="346" t="e">
        <f>Orçam.!#REF!</f>
        <v>#REF!</v>
      </c>
      <c r="C21" s="317" t="e">
        <f>Orçam.!#REF!</f>
        <v>#REF!</v>
      </c>
      <c r="D21" s="318" t="e">
        <f>C21/$C$85</f>
        <v>#REF!</v>
      </c>
      <c r="E21" s="317" t="e">
        <f t="shared" si="4"/>
        <v>#REF!</v>
      </c>
      <c r="F21" s="319">
        <v>20</v>
      </c>
      <c r="G21" s="317" t="e">
        <f t="shared" si="5"/>
        <v>#REF!</v>
      </c>
      <c r="H21" s="321">
        <v>20</v>
      </c>
      <c r="I21" s="317" t="e">
        <f t="shared" si="6"/>
        <v>#REF!</v>
      </c>
      <c r="J21" s="319">
        <v>20</v>
      </c>
      <c r="K21" s="317" t="e">
        <f t="shared" si="7"/>
        <v>#REF!</v>
      </c>
      <c r="L21" s="319">
        <v>20</v>
      </c>
      <c r="M21" s="317" t="e">
        <f t="shared" si="8"/>
        <v>#REF!</v>
      </c>
      <c r="N21" s="319">
        <v>10</v>
      </c>
      <c r="O21" s="317" t="e">
        <f>$C21*P21/100</f>
        <v>#REF!</v>
      </c>
      <c r="P21" s="319">
        <v>10</v>
      </c>
      <c r="Q21" s="317" t="e">
        <f t="shared" si="9"/>
        <v>#REF!</v>
      </c>
      <c r="R21" s="316">
        <f t="shared" si="9"/>
        <v>100</v>
      </c>
      <c r="T21" s="342" t="e">
        <f t="shared" si="3"/>
        <v>#REF!</v>
      </c>
    </row>
    <row r="22" spans="1:20" s="345" customFormat="1" x14ac:dyDescent="0.2">
      <c r="A22" s="309" t="e">
        <f>Orçam.!#REF!</f>
        <v>#REF!</v>
      </c>
      <c r="B22" s="346" t="e">
        <f>Orçam.!#REF!</f>
        <v>#REF!</v>
      </c>
      <c r="C22" s="317" t="e">
        <f>Orçam.!#REF!</f>
        <v>#REF!</v>
      </c>
      <c r="D22" s="318" t="e">
        <f>C22/$C$85</f>
        <v>#REF!</v>
      </c>
      <c r="E22" s="317" t="e">
        <f t="shared" si="4"/>
        <v>#REF!</v>
      </c>
      <c r="F22" s="319">
        <v>20</v>
      </c>
      <c r="G22" s="317" t="e">
        <f t="shared" si="5"/>
        <v>#REF!</v>
      </c>
      <c r="H22" s="321">
        <v>20</v>
      </c>
      <c r="I22" s="317" t="e">
        <f t="shared" si="6"/>
        <v>#REF!</v>
      </c>
      <c r="J22" s="319">
        <v>20</v>
      </c>
      <c r="K22" s="317" t="e">
        <f t="shared" si="7"/>
        <v>#REF!</v>
      </c>
      <c r="L22" s="319">
        <v>20</v>
      </c>
      <c r="M22" s="317" t="e">
        <f t="shared" si="8"/>
        <v>#REF!</v>
      </c>
      <c r="N22" s="319">
        <v>10</v>
      </c>
      <c r="O22" s="317" t="e">
        <f>$C22*P22/100</f>
        <v>#REF!</v>
      </c>
      <c r="P22" s="319">
        <v>10</v>
      </c>
      <c r="Q22" s="317" t="e">
        <f t="shared" si="9"/>
        <v>#REF!</v>
      </c>
      <c r="R22" s="316">
        <f t="shared" si="9"/>
        <v>100</v>
      </c>
      <c r="T22" s="342" t="e">
        <f t="shared" si="3"/>
        <v>#REF!</v>
      </c>
    </row>
    <row r="23" spans="1:20" s="345" customFormat="1" x14ac:dyDescent="0.2">
      <c r="A23" s="309"/>
      <c r="B23" s="346"/>
      <c r="C23" s="317"/>
      <c r="D23" s="318"/>
      <c r="E23" s="317"/>
      <c r="F23" s="319"/>
      <c r="G23" s="317"/>
      <c r="H23" s="321"/>
      <c r="I23" s="317"/>
      <c r="J23" s="319"/>
      <c r="K23" s="317"/>
      <c r="L23" s="319"/>
      <c r="M23" s="317"/>
      <c r="N23" s="319"/>
      <c r="O23" s="317"/>
      <c r="P23" s="319"/>
      <c r="Q23" s="317"/>
      <c r="R23" s="316"/>
      <c r="T23" s="342">
        <f t="shared" si="3"/>
        <v>0</v>
      </c>
    </row>
    <row r="24" spans="1:20" s="302" customFormat="1" x14ac:dyDescent="0.2">
      <c r="A24" s="306">
        <f>Resumo!A12</f>
        <v>2</v>
      </c>
      <c r="B24" s="347" t="str">
        <f>Resumo!B12</f>
        <v>DRENAGEM DE ÁGUAS PLUVIAIS</v>
      </c>
      <c r="C24" s="312"/>
      <c r="D24" s="318"/>
      <c r="E24" s="312"/>
      <c r="F24" s="314"/>
      <c r="G24" s="312"/>
      <c r="H24" s="315"/>
      <c r="I24" s="312"/>
      <c r="J24" s="314"/>
      <c r="K24" s="312"/>
      <c r="L24" s="314"/>
      <c r="M24" s="312"/>
      <c r="N24" s="314"/>
      <c r="O24" s="312"/>
      <c r="P24" s="314"/>
      <c r="Q24" s="312"/>
      <c r="R24" s="316"/>
      <c r="T24" s="342">
        <f t="shared" si="3"/>
        <v>0</v>
      </c>
    </row>
    <row r="25" spans="1:20" s="348" customFormat="1" x14ac:dyDescent="0.2">
      <c r="A25" s="306" t="e">
        <f>Resumo!#REF!</f>
        <v>#REF!</v>
      </c>
      <c r="B25" s="344" t="e">
        <f>Resumo!#REF!</f>
        <v>#REF!</v>
      </c>
      <c r="C25" s="317"/>
      <c r="D25" s="318"/>
      <c r="E25" s="317"/>
      <c r="F25" s="319"/>
      <c r="G25" s="317"/>
      <c r="H25" s="316"/>
      <c r="I25" s="317"/>
      <c r="J25" s="319"/>
      <c r="K25" s="317"/>
      <c r="L25" s="319"/>
      <c r="M25" s="317"/>
      <c r="N25" s="319"/>
      <c r="O25" s="317"/>
      <c r="P25" s="319"/>
      <c r="Q25" s="317"/>
      <c r="R25" s="316"/>
      <c r="T25" s="342">
        <f t="shared" si="3"/>
        <v>0</v>
      </c>
    </row>
    <row r="26" spans="1:20" s="348" customFormat="1" x14ac:dyDescent="0.2">
      <c r="A26" s="309" t="e">
        <f>Orçam.!#REF!</f>
        <v>#REF!</v>
      </c>
      <c r="B26" s="346" t="e">
        <f>Orçam.!#REF!</f>
        <v>#REF!</v>
      </c>
      <c r="C26" s="317" t="e">
        <f>Orçam.!#REF!</f>
        <v>#REF!</v>
      </c>
      <c r="D26" s="318" t="e">
        <f>C26/$C$85</f>
        <v>#REF!</v>
      </c>
      <c r="E26" s="317" t="e">
        <f>$C26*F26/100</f>
        <v>#REF!</v>
      </c>
      <c r="F26" s="319">
        <v>50</v>
      </c>
      <c r="G26" s="317" t="e">
        <f>$C26*H26/100</f>
        <v>#REF!</v>
      </c>
      <c r="H26" s="316">
        <v>50</v>
      </c>
      <c r="I26" s="317"/>
      <c r="J26" s="319"/>
      <c r="K26" s="317"/>
      <c r="L26" s="319"/>
      <c r="M26" s="317"/>
      <c r="N26" s="319"/>
      <c r="O26" s="317"/>
      <c r="P26" s="319"/>
      <c r="Q26" s="317" t="e">
        <f t="shared" si="9"/>
        <v>#REF!</v>
      </c>
      <c r="R26" s="316">
        <f t="shared" si="9"/>
        <v>100</v>
      </c>
      <c r="T26" s="342" t="e">
        <f t="shared" si="3"/>
        <v>#REF!</v>
      </c>
    </row>
    <row r="27" spans="1:20" s="348" customFormat="1" x14ac:dyDescent="0.2">
      <c r="A27" s="306" t="str">
        <f>Resumo!A13</f>
        <v>2.1</v>
      </c>
      <c r="B27" s="344" t="str">
        <f>Resumo!B13</f>
        <v>MOVIMENTO DE TERRA</v>
      </c>
      <c r="C27" s="317"/>
      <c r="D27" s="318"/>
      <c r="E27" s="317"/>
      <c r="F27" s="319"/>
      <c r="G27" s="317"/>
      <c r="H27" s="316"/>
      <c r="I27" s="317"/>
      <c r="J27" s="319"/>
      <c r="K27" s="317"/>
      <c r="L27" s="319"/>
      <c r="M27" s="317"/>
      <c r="N27" s="319"/>
      <c r="O27" s="317"/>
      <c r="P27" s="319"/>
      <c r="Q27" s="317"/>
      <c r="R27" s="316"/>
      <c r="T27" s="342">
        <f t="shared" si="3"/>
        <v>0</v>
      </c>
    </row>
    <row r="28" spans="1:20" s="348" customFormat="1" ht="63.75" x14ac:dyDescent="0.2">
      <c r="A28" s="309" t="str">
        <f>Orçam.!A18</f>
        <v>2.1.1</v>
      </c>
      <c r="B28" s="349" t="str">
        <f>Orçam.!D18</f>
        <v>ESCAVAÇÃO MECANIZADA DE VALA COM PROF. ATÉ 1,5 M(MÉDIA ENTRE MONTANTE E JUSANTE/UMA COMPOSIÇÃO POR TRECHO), COM ESCAVADEIRA HIDRÁULICA (0,8M3/111 HP), LARG. DE 1,5M A 2,5 M, EM SOLO DE 1A CATEGORIA, LOCAIS COM BAIXO NÍVEL DE INTERFERÊNCIA. AF_01/2015</v>
      </c>
      <c r="C28" s="317">
        <f>Orçam.!I18</f>
        <v>2914.48</v>
      </c>
      <c r="D28" s="318" t="e">
        <f>C28/$C$85</f>
        <v>#REF!</v>
      </c>
      <c r="E28" s="317">
        <f>$C28*F28/100</f>
        <v>1165.79</v>
      </c>
      <c r="F28" s="319">
        <v>40</v>
      </c>
      <c r="G28" s="317">
        <f>$C28*H28/100</f>
        <v>1311.52</v>
      </c>
      <c r="H28" s="316">
        <v>45</v>
      </c>
      <c r="I28" s="317">
        <f>$C28*J28/100+0.01</f>
        <v>437.18</v>
      </c>
      <c r="J28" s="319">
        <v>15</v>
      </c>
      <c r="K28" s="317"/>
      <c r="L28" s="319"/>
      <c r="M28" s="317"/>
      <c r="N28" s="319"/>
      <c r="O28" s="317"/>
      <c r="P28" s="319"/>
      <c r="Q28" s="317">
        <f t="shared" si="9"/>
        <v>2914.49</v>
      </c>
      <c r="R28" s="316">
        <f t="shared" si="9"/>
        <v>100</v>
      </c>
      <c r="T28" s="342">
        <f t="shared" si="3"/>
        <v>-0.01</v>
      </c>
    </row>
    <row r="29" spans="1:20" s="348" customFormat="1" ht="63.75" x14ac:dyDescent="0.2">
      <c r="A29" s="309" t="str">
        <f>Orçam.!A19</f>
        <v>2.1.2</v>
      </c>
      <c r="B29" s="349" t="str">
        <f>Orçam.!D19</f>
        <v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v>
      </c>
      <c r="C29" s="317">
        <f>Orçam.!I19</f>
        <v>530.91999999999996</v>
      </c>
      <c r="D29" s="318" t="e">
        <f>C29/$C$85</f>
        <v>#REF!</v>
      </c>
      <c r="E29" s="317">
        <f>$C29*F29/100</f>
        <v>212.37</v>
      </c>
      <c r="F29" s="319">
        <v>40</v>
      </c>
      <c r="G29" s="317">
        <f>$C29*H29/100</f>
        <v>238.91</v>
      </c>
      <c r="H29" s="316">
        <v>45</v>
      </c>
      <c r="I29" s="317">
        <f>$C29*J29/100</f>
        <v>79.64</v>
      </c>
      <c r="J29" s="319">
        <v>15</v>
      </c>
      <c r="K29" s="317"/>
      <c r="L29" s="319"/>
      <c r="M29" s="317"/>
      <c r="N29" s="319"/>
      <c r="O29" s="317"/>
      <c r="P29" s="319"/>
      <c r="Q29" s="317">
        <f t="shared" si="9"/>
        <v>530.91999999999996</v>
      </c>
      <c r="R29" s="316">
        <f t="shared" si="9"/>
        <v>100</v>
      </c>
      <c r="T29" s="342">
        <f>C29-Q29</f>
        <v>0</v>
      </c>
    </row>
    <row r="30" spans="1:20" s="348" customFormat="1" ht="38.25" x14ac:dyDescent="0.2">
      <c r="A30" s="309" t="str">
        <f>Orçam.!A20</f>
        <v>2.1.3</v>
      </c>
      <c r="B30" s="349" t="str">
        <f>Orçam.!D20</f>
        <v>ESCORAMENTO DE VALA, TIPO DESCONTÍNUO, COM PROFUNDIDADE DE 0 A 1,5 M,LARGURA MAIOR OU IGUAL A 1,5 M E MENOR QUE 2,5 M, EM LOCAL COM NÍVEL BAIXO DE INTERFERÊNCIA. AF_06/2016</v>
      </c>
      <c r="C30" s="317">
        <f>Orçam.!I20</f>
        <v>3160.74</v>
      </c>
      <c r="D30" s="318" t="e">
        <f>C30/$C$85</f>
        <v>#REF!</v>
      </c>
      <c r="E30" s="317">
        <f>$C30*F30/100</f>
        <v>1264.3</v>
      </c>
      <c r="F30" s="319">
        <v>40</v>
      </c>
      <c r="G30" s="317">
        <f>$C30*H30/100</f>
        <v>1422.33</v>
      </c>
      <c r="H30" s="316">
        <v>45</v>
      </c>
      <c r="I30" s="317">
        <f>$C30*J30/100-0.01</f>
        <v>474.1</v>
      </c>
      <c r="J30" s="319">
        <v>15</v>
      </c>
      <c r="K30" s="317"/>
      <c r="L30" s="319"/>
      <c r="M30" s="317"/>
      <c r="N30" s="319"/>
      <c r="O30" s="317"/>
      <c r="P30" s="319"/>
      <c r="Q30" s="317">
        <f t="shared" si="9"/>
        <v>3160.73</v>
      </c>
      <c r="R30" s="316">
        <f t="shared" si="9"/>
        <v>100</v>
      </c>
      <c r="T30" s="342">
        <f t="shared" si="3"/>
        <v>0.01</v>
      </c>
    </row>
    <row r="31" spans="1:20" s="348" customFormat="1" ht="38.25" x14ac:dyDescent="0.2">
      <c r="A31" s="309" t="str">
        <f>Orçam.!A21</f>
        <v>2.1.4</v>
      </c>
      <c r="B31" s="349" t="str">
        <f>Orçam.!D21</f>
        <v>LASTRO DE VALA COM PREPARO DE FUNDO, LARGURA MENOR QUE 1,5 M, COM CAMADA DE AREIA, LANÇAMENTO MANUAL, EM LOCAL COM NÍVEL BAIXO DE INTERFERÊNCIA. AF_06/2016</v>
      </c>
      <c r="C31" s="317">
        <f>Orçam.!I21</f>
        <v>6693.02</v>
      </c>
      <c r="D31" s="318" t="e">
        <f>C31/$C$85</f>
        <v>#REF!</v>
      </c>
      <c r="E31" s="317">
        <f>$C31*F31/100</f>
        <v>2677.21</v>
      </c>
      <c r="F31" s="319">
        <v>40</v>
      </c>
      <c r="G31" s="317">
        <f>$C31*H31/100</f>
        <v>3011.86</v>
      </c>
      <c r="H31" s="316">
        <v>45</v>
      </c>
      <c r="I31" s="317">
        <f>$C31*J31/100+0.01</f>
        <v>1003.96</v>
      </c>
      <c r="J31" s="319">
        <v>15</v>
      </c>
      <c r="K31" s="317"/>
      <c r="L31" s="319"/>
      <c r="M31" s="317"/>
      <c r="N31" s="319"/>
      <c r="O31" s="317"/>
      <c r="P31" s="319"/>
      <c r="Q31" s="317">
        <f t="shared" si="9"/>
        <v>6693.03</v>
      </c>
      <c r="R31" s="316">
        <f t="shared" si="9"/>
        <v>100</v>
      </c>
      <c r="T31" s="342">
        <f t="shared" si="3"/>
        <v>-0.01</v>
      </c>
    </row>
    <row r="32" spans="1:20" s="348" customFormat="1" ht="63.75" x14ac:dyDescent="0.2">
      <c r="A32" s="309" t="str">
        <f>Orçam.!A23</f>
        <v>2.1.6</v>
      </c>
      <c r="B32" s="349" t="str">
        <f>Orçam.!D23</f>
        <v>REATERRO MECANIZADO DE VALA COM RETROESCAVADEIRA (CAPACIDADE DA CAÇAMBA DA RETRO: 0,26 M³ / POTÊNCIA: 88 HP), LARGURA DE 0,8 A 1,5 M, PROFUNDIDADE DE 1,5 A 3,0 M, COM SOLO (SEM SUBSTITUIÇÃO) DE 1ª CATEGORIA EM LOCAIS COM BAIXO NÍVEL DE INTERFERÊNCIA. AF_04/2016</v>
      </c>
      <c r="C32" s="317">
        <f>Orçam.!I23</f>
        <v>741.03</v>
      </c>
      <c r="D32" s="318" t="e">
        <f>C32/$C$85</f>
        <v>#REF!</v>
      </c>
      <c r="E32" s="317">
        <f>$C32*F32/100</f>
        <v>296.41000000000003</v>
      </c>
      <c r="F32" s="319">
        <v>40</v>
      </c>
      <c r="G32" s="317">
        <f>$C32*H32/100</f>
        <v>333.46</v>
      </c>
      <c r="H32" s="316">
        <v>45</v>
      </c>
      <c r="I32" s="317">
        <f>$C32*J32/100-0.01</f>
        <v>111.14</v>
      </c>
      <c r="J32" s="319">
        <v>15</v>
      </c>
      <c r="K32" s="317"/>
      <c r="L32" s="319"/>
      <c r="M32" s="317"/>
      <c r="N32" s="319"/>
      <c r="O32" s="317"/>
      <c r="P32" s="319"/>
      <c r="Q32" s="317">
        <f t="shared" si="9"/>
        <v>741.01</v>
      </c>
      <c r="R32" s="316">
        <f t="shared" si="9"/>
        <v>100</v>
      </c>
      <c r="T32" s="342">
        <f t="shared" si="3"/>
        <v>0.02</v>
      </c>
    </row>
    <row r="33" spans="1:20" s="348" customFormat="1" x14ac:dyDescent="0.2">
      <c r="A33" s="306" t="str">
        <f>Resumo!A14</f>
        <v>2.2</v>
      </c>
      <c r="B33" s="347" t="str">
        <f>Resumo!B14</f>
        <v>FORNECIMENTO E ASSENTAMENTO DE TUBOS</v>
      </c>
      <c r="C33" s="317"/>
      <c r="D33" s="318"/>
      <c r="E33" s="317"/>
      <c r="F33" s="319"/>
      <c r="G33" s="317"/>
      <c r="H33" s="316"/>
      <c r="I33" s="317"/>
      <c r="J33" s="319"/>
      <c r="K33" s="317"/>
      <c r="L33" s="319"/>
      <c r="M33" s="317"/>
      <c r="N33" s="319"/>
      <c r="O33" s="317"/>
      <c r="P33" s="319"/>
      <c r="Q33" s="317"/>
      <c r="R33" s="316"/>
      <c r="T33" s="342">
        <f t="shared" si="3"/>
        <v>0</v>
      </c>
    </row>
    <row r="34" spans="1:20" s="348" customFormat="1" ht="51" x14ac:dyDescent="0.2">
      <c r="A34" s="310" t="str">
        <f>Orçam.!A26</f>
        <v>2.2.1</v>
      </c>
      <c r="B34" s="349" t="str">
        <f>Orçam.!D26</f>
        <v>TUBO DE CONCRETO PARA REDES COLETORAS DE ÁGUAS PLUVIAIS, DIÂMETRO DE 400 MM, JUNTA RÍGIDA, INSTALADO EM LOCAL COM BAIXO NÍVEL DE INTERFERÊNCIAS - FORNECIMENTO E ASSENTAMENTO. AF_12/2015</v>
      </c>
      <c r="C34" s="317">
        <f>Orçam.!I26</f>
        <v>7271.4</v>
      </c>
      <c r="D34" s="318" t="e">
        <f t="shared" ref="D34:D43" si="10">C34/$C$85</f>
        <v>#REF!</v>
      </c>
      <c r="E34" s="317">
        <f t="shared" ref="E34:E43" si="11">$C34*F34/100</f>
        <v>727.14</v>
      </c>
      <c r="F34" s="319">
        <v>10</v>
      </c>
      <c r="G34" s="317">
        <f t="shared" ref="G34:G43" si="12">$C34*H34/100</f>
        <v>1454.28</v>
      </c>
      <c r="H34" s="316">
        <v>20</v>
      </c>
      <c r="I34" s="317">
        <f t="shared" ref="I34:I43" si="13">$C34*J34/100</f>
        <v>2908.56</v>
      </c>
      <c r="J34" s="319">
        <v>40</v>
      </c>
      <c r="K34" s="317">
        <f t="shared" ref="K34:K43" si="14">$C34*L34/100</f>
        <v>1817.85</v>
      </c>
      <c r="L34" s="319">
        <v>25</v>
      </c>
      <c r="M34" s="317">
        <f t="shared" ref="M34:M43" si="15">$C34*N34/100</f>
        <v>363.57</v>
      </c>
      <c r="N34" s="319">
        <v>5</v>
      </c>
      <c r="O34" s="317"/>
      <c r="P34" s="319"/>
      <c r="Q34" s="317">
        <f t="shared" ref="Q34:Q43" si="16">E34+G34+I34+K34+M34+O34</f>
        <v>7271.4</v>
      </c>
      <c r="R34" s="316">
        <f t="shared" si="9"/>
        <v>100</v>
      </c>
      <c r="T34" s="342">
        <f t="shared" si="3"/>
        <v>0</v>
      </c>
    </row>
    <row r="35" spans="1:20" s="348" customFormat="1" x14ac:dyDescent="0.2">
      <c r="A35" s="310" t="e">
        <f>Orçam.!#REF!</f>
        <v>#REF!</v>
      </c>
      <c r="B35" s="349" t="e">
        <f>Orçam.!#REF!</f>
        <v>#REF!</v>
      </c>
      <c r="C35" s="317" t="e">
        <f>Orçam.!#REF!</f>
        <v>#REF!</v>
      </c>
      <c r="D35" s="318" t="e">
        <f t="shared" si="10"/>
        <v>#REF!</v>
      </c>
      <c r="E35" s="317" t="e">
        <f t="shared" si="11"/>
        <v>#REF!</v>
      </c>
      <c r="F35" s="319">
        <v>10</v>
      </c>
      <c r="G35" s="317" t="e">
        <f t="shared" si="12"/>
        <v>#REF!</v>
      </c>
      <c r="H35" s="316">
        <v>20</v>
      </c>
      <c r="I35" s="317" t="e">
        <f t="shared" si="13"/>
        <v>#REF!</v>
      </c>
      <c r="J35" s="319">
        <v>40</v>
      </c>
      <c r="K35" s="317" t="e">
        <f t="shared" si="14"/>
        <v>#REF!</v>
      </c>
      <c r="L35" s="319">
        <v>25</v>
      </c>
      <c r="M35" s="317" t="e">
        <f t="shared" si="15"/>
        <v>#REF!</v>
      </c>
      <c r="N35" s="319">
        <v>5</v>
      </c>
      <c r="O35" s="317"/>
      <c r="P35" s="319"/>
      <c r="Q35" s="317" t="e">
        <f t="shared" si="16"/>
        <v>#REF!</v>
      </c>
      <c r="R35" s="316">
        <f t="shared" si="9"/>
        <v>100</v>
      </c>
      <c r="T35" s="342" t="e">
        <f t="shared" si="3"/>
        <v>#REF!</v>
      </c>
    </row>
    <row r="36" spans="1:20" s="348" customFormat="1" ht="51" x14ac:dyDescent="0.2">
      <c r="A36" s="310" t="str">
        <f>Orçam.!A28</f>
        <v>2.2.3</v>
      </c>
      <c r="B36" s="349" t="str">
        <f>Orçam.!D28</f>
        <v>TUBO DE CONCRETO PARA REDES COLETORAS DE ÁGUAS PLUVIAIS, DIÂMETRO DE 800 MM, JUNTA RÍGIDA, INSTALADO EM LOCAL COM BAIXO NÍVEL DE INTERFERÊNCIAS - FORNECIMENTO E ASSENTAMENTO. AF_12/2015</v>
      </c>
      <c r="C36" s="317">
        <f>Orçam.!I28</f>
        <v>48718.67</v>
      </c>
      <c r="D36" s="318" t="e">
        <f t="shared" si="10"/>
        <v>#REF!</v>
      </c>
      <c r="E36" s="317">
        <f t="shared" si="11"/>
        <v>4871.87</v>
      </c>
      <c r="F36" s="319">
        <v>10</v>
      </c>
      <c r="G36" s="317">
        <f t="shared" si="12"/>
        <v>9743.73</v>
      </c>
      <c r="H36" s="316">
        <v>20</v>
      </c>
      <c r="I36" s="317">
        <f t="shared" si="13"/>
        <v>19487.47</v>
      </c>
      <c r="J36" s="319">
        <v>40</v>
      </c>
      <c r="K36" s="317">
        <f t="shared" si="14"/>
        <v>12179.67</v>
      </c>
      <c r="L36" s="319">
        <v>25</v>
      </c>
      <c r="M36" s="317">
        <f t="shared" si="15"/>
        <v>2435.9299999999998</v>
      </c>
      <c r="N36" s="319">
        <v>5</v>
      </c>
      <c r="O36" s="317"/>
      <c r="P36" s="319"/>
      <c r="Q36" s="317">
        <f t="shared" si="16"/>
        <v>48718.67</v>
      </c>
      <c r="R36" s="316">
        <f t="shared" si="9"/>
        <v>100</v>
      </c>
      <c r="T36" s="342">
        <f t="shared" si="3"/>
        <v>0</v>
      </c>
    </row>
    <row r="37" spans="1:20" s="348" customFormat="1" x14ac:dyDescent="0.2">
      <c r="A37" s="310" t="e">
        <f>Orçam.!#REF!</f>
        <v>#REF!</v>
      </c>
      <c r="B37" s="349" t="e">
        <f>Orçam.!#REF!</f>
        <v>#REF!</v>
      </c>
      <c r="C37" s="317" t="e">
        <f>Orçam.!#REF!</f>
        <v>#REF!</v>
      </c>
      <c r="D37" s="318" t="e">
        <f t="shared" si="10"/>
        <v>#REF!</v>
      </c>
      <c r="E37" s="317" t="e">
        <f t="shared" si="11"/>
        <v>#REF!</v>
      </c>
      <c r="F37" s="319">
        <v>10</v>
      </c>
      <c r="G37" s="317" t="e">
        <f t="shared" si="12"/>
        <v>#REF!</v>
      </c>
      <c r="H37" s="316">
        <v>20</v>
      </c>
      <c r="I37" s="317" t="e">
        <f t="shared" si="13"/>
        <v>#REF!</v>
      </c>
      <c r="J37" s="319">
        <v>40</v>
      </c>
      <c r="K37" s="317" t="e">
        <f t="shared" si="14"/>
        <v>#REF!</v>
      </c>
      <c r="L37" s="319">
        <v>25</v>
      </c>
      <c r="M37" s="317" t="e">
        <f t="shared" si="15"/>
        <v>#REF!</v>
      </c>
      <c r="N37" s="319">
        <v>5</v>
      </c>
      <c r="O37" s="317"/>
      <c r="P37" s="319"/>
      <c r="Q37" s="317" t="e">
        <f t="shared" si="16"/>
        <v>#REF!</v>
      </c>
      <c r="R37" s="316">
        <f t="shared" si="9"/>
        <v>100</v>
      </c>
      <c r="T37" s="342" t="e">
        <f t="shared" si="3"/>
        <v>#REF!</v>
      </c>
    </row>
    <row r="38" spans="1:20" s="348" customFormat="1" x14ac:dyDescent="0.2">
      <c r="A38" s="310" t="e">
        <f>Orçam.!#REF!</f>
        <v>#REF!</v>
      </c>
      <c r="B38" s="349" t="e">
        <f>Orçam.!#REF!</f>
        <v>#REF!</v>
      </c>
      <c r="C38" s="317" t="e">
        <f>Orçam.!#REF!</f>
        <v>#REF!</v>
      </c>
      <c r="D38" s="318" t="e">
        <f t="shared" si="10"/>
        <v>#REF!</v>
      </c>
      <c r="E38" s="317" t="e">
        <f t="shared" si="11"/>
        <v>#REF!</v>
      </c>
      <c r="F38" s="319">
        <v>10</v>
      </c>
      <c r="G38" s="317" t="e">
        <f t="shared" si="12"/>
        <v>#REF!</v>
      </c>
      <c r="H38" s="316">
        <v>20</v>
      </c>
      <c r="I38" s="317" t="e">
        <f t="shared" si="13"/>
        <v>#REF!</v>
      </c>
      <c r="J38" s="319">
        <v>40</v>
      </c>
      <c r="K38" s="317" t="e">
        <f t="shared" si="14"/>
        <v>#REF!</v>
      </c>
      <c r="L38" s="319">
        <v>25</v>
      </c>
      <c r="M38" s="317" t="e">
        <f t="shared" si="15"/>
        <v>#REF!</v>
      </c>
      <c r="N38" s="319">
        <v>5</v>
      </c>
      <c r="O38" s="317"/>
      <c r="P38" s="319"/>
      <c r="Q38" s="317" t="e">
        <f t="shared" si="16"/>
        <v>#REF!</v>
      </c>
      <c r="R38" s="316">
        <f t="shared" si="9"/>
        <v>100</v>
      </c>
      <c r="T38" s="342" t="e">
        <f t="shared" si="3"/>
        <v>#REF!</v>
      </c>
    </row>
    <row r="39" spans="1:20" s="348" customFormat="1" x14ac:dyDescent="0.2">
      <c r="A39" s="310" t="e">
        <f>Orçam.!#REF!</f>
        <v>#REF!</v>
      </c>
      <c r="B39" s="349" t="e">
        <f>Orçam.!#REF!</f>
        <v>#REF!</v>
      </c>
      <c r="C39" s="317" t="e">
        <f>Orçam.!#REF!</f>
        <v>#REF!</v>
      </c>
      <c r="D39" s="318" t="e">
        <f t="shared" si="10"/>
        <v>#REF!</v>
      </c>
      <c r="E39" s="317" t="e">
        <f t="shared" si="11"/>
        <v>#REF!</v>
      </c>
      <c r="F39" s="319">
        <v>10</v>
      </c>
      <c r="G39" s="317" t="e">
        <f t="shared" si="12"/>
        <v>#REF!</v>
      </c>
      <c r="H39" s="316">
        <v>20</v>
      </c>
      <c r="I39" s="317" t="e">
        <f t="shared" si="13"/>
        <v>#REF!</v>
      </c>
      <c r="J39" s="319">
        <v>40</v>
      </c>
      <c r="K39" s="317" t="e">
        <f t="shared" si="14"/>
        <v>#REF!</v>
      </c>
      <c r="L39" s="319">
        <v>25</v>
      </c>
      <c r="M39" s="317" t="e">
        <f t="shared" si="15"/>
        <v>#REF!</v>
      </c>
      <c r="N39" s="319">
        <v>5</v>
      </c>
      <c r="O39" s="317"/>
      <c r="P39" s="319"/>
      <c r="Q39" s="317" t="e">
        <f t="shared" si="16"/>
        <v>#REF!</v>
      </c>
      <c r="R39" s="316">
        <f t="shared" si="9"/>
        <v>100</v>
      </c>
      <c r="T39" s="342" t="e">
        <f t="shared" si="3"/>
        <v>#REF!</v>
      </c>
    </row>
    <row r="40" spans="1:20" s="348" customFormat="1" x14ac:dyDescent="0.2">
      <c r="A40" s="310" t="e">
        <f>Orçam.!#REF!</f>
        <v>#REF!</v>
      </c>
      <c r="B40" s="349" t="e">
        <f>Orçam.!#REF!</f>
        <v>#REF!</v>
      </c>
      <c r="C40" s="317" t="e">
        <f>Orçam.!#REF!</f>
        <v>#REF!</v>
      </c>
      <c r="D40" s="318" t="e">
        <f t="shared" si="10"/>
        <v>#REF!</v>
      </c>
      <c r="E40" s="317" t="e">
        <f t="shared" si="11"/>
        <v>#REF!</v>
      </c>
      <c r="F40" s="319">
        <v>10</v>
      </c>
      <c r="G40" s="317" t="e">
        <f t="shared" si="12"/>
        <v>#REF!</v>
      </c>
      <c r="H40" s="316">
        <v>20</v>
      </c>
      <c r="I40" s="317" t="e">
        <f t="shared" si="13"/>
        <v>#REF!</v>
      </c>
      <c r="J40" s="319">
        <v>40</v>
      </c>
      <c r="K40" s="317" t="e">
        <f t="shared" si="14"/>
        <v>#REF!</v>
      </c>
      <c r="L40" s="319">
        <v>25</v>
      </c>
      <c r="M40" s="317" t="e">
        <f t="shared" si="15"/>
        <v>#REF!</v>
      </c>
      <c r="N40" s="319">
        <v>5</v>
      </c>
      <c r="O40" s="317"/>
      <c r="P40" s="319"/>
      <c r="Q40" s="317" t="e">
        <f t="shared" si="16"/>
        <v>#REF!</v>
      </c>
      <c r="R40" s="316">
        <f t="shared" si="9"/>
        <v>100</v>
      </c>
      <c r="T40" s="342" t="e">
        <f t="shared" si="3"/>
        <v>#REF!</v>
      </c>
    </row>
    <row r="41" spans="1:20" s="348" customFormat="1" x14ac:dyDescent="0.2">
      <c r="A41" s="310" t="e">
        <f>Orçam.!#REF!</f>
        <v>#REF!</v>
      </c>
      <c r="B41" s="349" t="e">
        <f>Orçam.!#REF!</f>
        <v>#REF!</v>
      </c>
      <c r="C41" s="317" t="e">
        <f>Orçam.!#REF!</f>
        <v>#REF!</v>
      </c>
      <c r="D41" s="318" t="e">
        <f t="shared" si="10"/>
        <v>#REF!</v>
      </c>
      <c r="E41" s="317" t="e">
        <f t="shared" si="11"/>
        <v>#REF!</v>
      </c>
      <c r="F41" s="319">
        <v>10</v>
      </c>
      <c r="G41" s="317" t="e">
        <f t="shared" si="12"/>
        <v>#REF!</v>
      </c>
      <c r="H41" s="316">
        <v>20</v>
      </c>
      <c r="I41" s="317" t="e">
        <f t="shared" si="13"/>
        <v>#REF!</v>
      </c>
      <c r="J41" s="319">
        <v>40</v>
      </c>
      <c r="K41" s="317" t="e">
        <f t="shared" si="14"/>
        <v>#REF!</v>
      </c>
      <c r="L41" s="319">
        <v>25</v>
      </c>
      <c r="M41" s="317" t="e">
        <f t="shared" si="15"/>
        <v>#REF!</v>
      </c>
      <c r="N41" s="319">
        <v>5</v>
      </c>
      <c r="O41" s="317"/>
      <c r="P41" s="319"/>
      <c r="Q41" s="317" t="e">
        <f t="shared" si="16"/>
        <v>#REF!</v>
      </c>
      <c r="R41" s="316">
        <f t="shared" si="9"/>
        <v>100</v>
      </c>
      <c r="T41" s="342" t="e">
        <f>C41-Q41</f>
        <v>#REF!</v>
      </c>
    </row>
    <row r="42" spans="1:20" s="348" customFormat="1" x14ac:dyDescent="0.2">
      <c r="A42" s="310" t="e">
        <f>Orçam.!#REF!</f>
        <v>#REF!</v>
      </c>
      <c r="B42" s="349" t="e">
        <f>Orçam.!#REF!</f>
        <v>#REF!</v>
      </c>
      <c r="C42" s="317" t="e">
        <f>Orçam.!#REF!</f>
        <v>#REF!</v>
      </c>
      <c r="D42" s="318" t="e">
        <f t="shared" si="10"/>
        <v>#REF!</v>
      </c>
      <c r="E42" s="317" t="e">
        <f t="shared" si="11"/>
        <v>#REF!</v>
      </c>
      <c r="F42" s="319">
        <v>10</v>
      </c>
      <c r="G42" s="317" t="e">
        <f t="shared" si="12"/>
        <v>#REF!</v>
      </c>
      <c r="H42" s="316">
        <v>20</v>
      </c>
      <c r="I42" s="317" t="e">
        <f t="shared" si="13"/>
        <v>#REF!</v>
      </c>
      <c r="J42" s="319">
        <v>40</v>
      </c>
      <c r="K42" s="317" t="e">
        <f t="shared" si="14"/>
        <v>#REF!</v>
      </c>
      <c r="L42" s="319">
        <v>25</v>
      </c>
      <c r="M42" s="317" t="e">
        <f t="shared" si="15"/>
        <v>#REF!</v>
      </c>
      <c r="N42" s="319">
        <v>5</v>
      </c>
      <c r="O42" s="317"/>
      <c r="P42" s="319"/>
      <c r="Q42" s="317" t="e">
        <f t="shared" si="16"/>
        <v>#REF!</v>
      </c>
      <c r="R42" s="316">
        <f t="shared" si="9"/>
        <v>100</v>
      </c>
      <c r="T42" s="342" t="e">
        <f t="shared" si="3"/>
        <v>#REF!</v>
      </c>
    </row>
    <row r="43" spans="1:20" s="348" customFormat="1" x14ac:dyDescent="0.2">
      <c r="A43" s="310" t="e">
        <f>Orçam.!#REF!</f>
        <v>#REF!</v>
      </c>
      <c r="B43" s="349" t="e">
        <f>Orçam.!#REF!</f>
        <v>#REF!</v>
      </c>
      <c r="C43" s="317" t="e">
        <f>Orçam.!#REF!</f>
        <v>#REF!</v>
      </c>
      <c r="D43" s="318" t="e">
        <f t="shared" si="10"/>
        <v>#REF!</v>
      </c>
      <c r="E43" s="317" t="e">
        <f t="shared" si="11"/>
        <v>#REF!</v>
      </c>
      <c r="F43" s="319">
        <v>10</v>
      </c>
      <c r="G43" s="317" t="e">
        <f t="shared" si="12"/>
        <v>#REF!</v>
      </c>
      <c r="H43" s="316">
        <v>20</v>
      </c>
      <c r="I43" s="317" t="e">
        <f t="shared" si="13"/>
        <v>#REF!</v>
      </c>
      <c r="J43" s="319">
        <v>40</v>
      </c>
      <c r="K43" s="317" t="e">
        <f t="shared" si="14"/>
        <v>#REF!</v>
      </c>
      <c r="L43" s="319">
        <v>25</v>
      </c>
      <c r="M43" s="317" t="e">
        <f t="shared" si="15"/>
        <v>#REF!</v>
      </c>
      <c r="N43" s="319">
        <v>5</v>
      </c>
      <c r="O43" s="317"/>
      <c r="P43" s="319"/>
      <c r="Q43" s="317" t="e">
        <f t="shared" si="16"/>
        <v>#REF!</v>
      </c>
      <c r="R43" s="316">
        <f t="shared" si="9"/>
        <v>100</v>
      </c>
      <c r="T43" s="342" t="e">
        <f t="shared" si="3"/>
        <v>#REF!</v>
      </c>
    </row>
    <row r="44" spans="1:20" s="348" customFormat="1" x14ac:dyDescent="0.2">
      <c r="A44" s="306" t="str">
        <f>Resumo!A15</f>
        <v>2.3</v>
      </c>
      <c r="B44" s="344" t="str">
        <f>Resumo!B15</f>
        <v>ELEMENTOS AUXILIARES</v>
      </c>
      <c r="C44" s="312"/>
      <c r="D44" s="318"/>
      <c r="E44" s="317"/>
      <c r="F44" s="319"/>
      <c r="G44" s="317"/>
      <c r="H44" s="316"/>
      <c r="I44" s="317"/>
      <c r="J44" s="319"/>
      <c r="K44" s="317"/>
      <c r="L44" s="319"/>
      <c r="M44" s="317"/>
      <c r="N44" s="319"/>
      <c r="O44" s="317"/>
      <c r="P44" s="319"/>
      <c r="Q44" s="317"/>
      <c r="R44" s="316"/>
      <c r="T44" s="342">
        <f t="shared" si="3"/>
        <v>0</v>
      </c>
    </row>
    <row r="45" spans="1:20" s="348" customFormat="1" x14ac:dyDescent="0.2">
      <c r="A45" s="309" t="e">
        <f>Orçam.!#REF!</f>
        <v>#REF!</v>
      </c>
      <c r="B45" s="349" t="e">
        <f>Orçam.!#REF!</f>
        <v>#REF!</v>
      </c>
      <c r="C45" s="317" t="e">
        <f>Orçam.!#REF!</f>
        <v>#REF!</v>
      </c>
      <c r="D45" s="318" t="e">
        <f t="shared" ref="D45:D51" si="17">C45/$C$85</f>
        <v>#REF!</v>
      </c>
      <c r="E45" s="317" t="e">
        <f t="shared" ref="E45:E51" si="18">$C45*F45/100</f>
        <v>#REF!</v>
      </c>
      <c r="F45" s="319">
        <v>10</v>
      </c>
      <c r="G45" s="317" t="e">
        <f t="shared" ref="G45:G51" si="19">$C45*H45/100</f>
        <v>#REF!</v>
      </c>
      <c r="H45" s="316">
        <v>20</v>
      </c>
      <c r="I45" s="317" t="e">
        <f t="shared" ref="I45:I51" si="20">$C45*J45/100</f>
        <v>#REF!</v>
      </c>
      <c r="J45" s="319">
        <v>40</v>
      </c>
      <c r="K45" s="317" t="e">
        <f t="shared" ref="K45:K51" si="21">$C45*L45/100</f>
        <v>#REF!</v>
      </c>
      <c r="L45" s="319">
        <v>20</v>
      </c>
      <c r="M45" s="317" t="e">
        <f t="shared" ref="M45:M46" si="22">$C45*N45/100-0.01</f>
        <v>#REF!</v>
      </c>
      <c r="N45" s="319">
        <v>10</v>
      </c>
      <c r="O45" s="317"/>
      <c r="P45" s="319"/>
      <c r="Q45" s="317" t="e">
        <f t="shared" ref="Q45:Q51" si="23">E45+G45+I45+K45+M45+O45</f>
        <v>#REF!</v>
      </c>
      <c r="R45" s="316">
        <f t="shared" si="9"/>
        <v>100</v>
      </c>
      <c r="T45" s="342" t="e">
        <f t="shared" si="3"/>
        <v>#REF!</v>
      </c>
    </row>
    <row r="46" spans="1:20" s="348" customFormat="1" x14ac:dyDescent="0.2">
      <c r="A46" s="309" t="str">
        <f>Orçam.!A31</f>
        <v>2.3.1</v>
      </c>
      <c r="B46" s="349" t="str">
        <f>Orçam.!D31</f>
        <v>POÇO DE VISITA - PVI 02 (600 mm)- AREIA E BRITA COMERCIAIS</v>
      </c>
      <c r="C46" s="317">
        <f>Orçam.!I31</f>
        <v>1990.93</v>
      </c>
      <c r="D46" s="318" t="e">
        <f t="shared" si="17"/>
        <v>#REF!</v>
      </c>
      <c r="E46" s="317">
        <f t="shared" si="18"/>
        <v>199.09</v>
      </c>
      <c r="F46" s="319">
        <v>10</v>
      </c>
      <c r="G46" s="317">
        <f t="shared" si="19"/>
        <v>398.19</v>
      </c>
      <c r="H46" s="316">
        <v>20</v>
      </c>
      <c r="I46" s="317">
        <f t="shared" si="20"/>
        <v>796.37</v>
      </c>
      <c r="J46" s="319">
        <v>40</v>
      </c>
      <c r="K46" s="317">
        <f t="shared" si="21"/>
        <v>398.19</v>
      </c>
      <c r="L46" s="319">
        <v>20</v>
      </c>
      <c r="M46" s="317">
        <f t="shared" si="22"/>
        <v>199.08</v>
      </c>
      <c r="N46" s="319">
        <v>10</v>
      </c>
      <c r="O46" s="317"/>
      <c r="P46" s="319"/>
      <c r="Q46" s="317">
        <f t="shared" si="23"/>
        <v>1990.92</v>
      </c>
      <c r="R46" s="316">
        <f t="shared" si="9"/>
        <v>100</v>
      </c>
      <c r="T46" s="342">
        <f t="shared" si="3"/>
        <v>0.01</v>
      </c>
    </row>
    <row r="47" spans="1:20" s="348" customFormat="1" x14ac:dyDescent="0.2">
      <c r="A47" s="309" t="str">
        <f>Orçam.!A32</f>
        <v>2.3.2</v>
      </c>
      <c r="B47" s="349" t="str">
        <f>Orçam.!D32</f>
        <v>POÇO DE VISITA - PVI 03 (800 mm) - AREIA E BRITA COMERCIAIS</v>
      </c>
      <c r="C47" s="317">
        <f>Orçam.!I32</f>
        <v>4587.82</v>
      </c>
      <c r="D47" s="318" t="e">
        <f t="shared" si="17"/>
        <v>#REF!</v>
      </c>
      <c r="E47" s="317">
        <f t="shared" si="18"/>
        <v>458.78</v>
      </c>
      <c r="F47" s="319">
        <v>10</v>
      </c>
      <c r="G47" s="317">
        <f t="shared" si="19"/>
        <v>917.56</v>
      </c>
      <c r="H47" s="316">
        <v>20</v>
      </c>
      <c r="I47" s="317">
        <f t="shared" si="20"/>
        <v>1835.13</v>
      </c>
      <c r="J47" s="319">
        <v>40</v>
      </c>
      <c r="K47" s="317">
        <f t="shared" si="21"/>
        <v>917.56</v>
      </c>
      <c r="L47" s="319">
        <v>20</v>
      </c>
      <c r="M47" s="317">
        <f>$C47*N47/100</f>
        <v>458.78</v>
      </c>
      <c r="N47" s="319">
        <v>10</v>
      </c>
      <c r="O47" s="317"/>
      <c r="P47" s="319"/>
      <c r="Q47" s="317">
        <f t="shared" si="23"/>
        <v>4587.8100000000004</v>
      </c>
      <c r="R47" s="316">
        <f t="shared" si="9"/>
        <v>100</v>
      </c>
      <c r="T47" s="342">
        <f t="shared" si="3"/>
        <v>0.01</v>
      </c>
    </row>
    <row r="48" spans="1:20" s="348" customFormat="1" x14ac:dyDescent="0.2">
      <c r="A48" s="309" t="e">
        <f>Orçam.!#REF!</f>
        <v>#REF!</v>
      </c>
      <c r="B48" s="349" t="e">
        <f>Orçam.!#REF!</f>
        <v>#REF!</v>
      </c>
      <c r="C48" s="317" t="e">
        <f>Orçam.!#REF!</f>
        <v>#REF!</v>
      </c>
      <c r="D48" s="318" t="e">
        <f t="shared" si="17"/>
        <v>#REF!</v>
      </c>
      <c r="E48" s="317" t="e">
        <f t="shared" si="18"/>
        <v>#REF!</v>
      </c>
      <c r="F48" s="319">
        <v>10</v>
      </c>
      <c r="G48" s="317" t="e">
        <f t="shared" si="19"/>
        <v>#REF!</v>
      </c>
      <c r="H48" s="316">
        <v>20</v>
      </c>
      <c r="I48" s="317" t="e">
        <f t="shared" si="20"/>
        <v>#REF!</v>
      </c>
      <c r="J48" s="319">
        <v>40</v>
      </c>
      <c r="K48" s="317" t="e">
        <f t="shared" si="21"/>
        <v>#REF!</v>
      </c>
      <c r="L48" s="319">
        <v>20</v>
      </c>
      <c r="M48" s="317" t="e">
        <f>$C48*N48/100</f>
        <v>#REF!</v>
      </c>
      <c r="N48" s="319">
        <v>10</v>
      </c>
      <c r="O48" s="317"/>
      <c r="P48" s="319"/>
      <c r="Q48" s="317" t="e">
        <f t="shared" si="23"/>
        <v>#REF!</v>
      </c>
      <c r="R48" s="316">
        <f t="shared" si="9"/>
        <v>100</v>
      </c>
      <c r="T48" s="342" t="e">
        <f t="shared" si="3"/>
        <v>#REF!</v>
      </c>
    </row>
    <row r="49" spans="1:20" s="348" customFormat="1" ht="38.25" x14ac:dyDescent="0.2">
      <c r="A49" s="309" t="str">
        <f>Orçam.!A33</f>
        <v>2.3.3</v>
      </c>
      <c r="B49" s="349" t="str">
        <f>Orçam.!D33</f>
        <v>CHAMINÉ CIRCULAR PARA POÇO DE VISITA PARA ESGOTO, EM ALVENARIA COM TIJOLOS CERÂMICOS MACIÇOS, DIÂMETRO INTERNO = 0,6 M. AF_05/2018</v>
      </c>
      <c r="C49" s="317">
        <f>Orçam.!I33</f>
        <v>2866.17</v>
      </c>
      <c r="D49" s="318" t="e">
        <f t="shared" si="17"/>
        <v>#REF!</v>
      </c>
      <c r="E49" s="317">
        <f t="shared" si="18"/>
        <v>286.62</v>
      </c>
      <c r="F49" s="319">
        <v>10</v>
      </c>
      <c r="G49" s="317">
        <f t="shared" si="19"/>
        <v>573.23</v>
      </c>
      <c r="H49" s="316">
        <v>20</v>
      </c>
      <c r="I49" s="317">
        <f t="shared" si="20"/>
        <v>1146.47</v>
      </c>
      <c r="J49" s="319">
        <v>40</v>
      </c>
      <c r="K49" s="317">
        <f t="shared" si="21"/>
        <v>573.23</v>
      </c>
      <c r="L49" s="319">
        <v>20</v>
      </c>
      <c r="M49" s="317">
        <f>$C49*N49/100</f>
        <v>286.62</v>
      </c>
      <c r="N49" s="319">
        <v>10</v>
      </c>
      <c r="O49" s="317"/>
      <c r="P49" s="319"/>
      <c r="Q49" s="317">
        <f t="shared" si="23"/>
        <v>2866.17</v>
      </c>
      <c r="R49" s="316">
        <f t="shared" si="9"/>
        <v>100</v>
      </c>
      <c r="T49" s="342">
        <f t="shared" si="3"/>
        <v>0</v>
      </c>
    </row>
    <row r="50" spans="1:20" s="348" customFormat="1" ht="38.25" x14ac:dyDescent="0.2">
      <c r="A50" s="309" t="str">
        <f>Orçam.!A35</f>
        <v>2.3.5</v>
      </c>
      <c r="B50" s="349" t="str">
        <f>Orçam.!D35</f>
        <v>BOCA DE LOBO EM ALVENARIA TIJOLO MACICO, REVESTIDA C/ ARGAMASSA DE CIMENTO E AREIA 1:3, SOBRE LASTRO DE CONCRETO 10CM E TAMPA DE CONCRETO ARMADO</v>
      </c>
      <c r="C50" s="317">
        <f>Orçam.!I35</f>
        <v>1940.58</v>
      </c>
      <c r="D50" s="318" t="e">
        <f t="shared" si="17"/>
        <v>#REF!</v>
      </c>
      <c r="E50" s="317">
        <f t="shared" si="18"/>
        <v>194.06</v>
      </c>
      <c r="F50" s="319">
        <v>10</v>
      </c>
      <c r="G50" s="317">
        <f t="shared" si="19"/>
        <v>388.12</v>
      </c>
      <c r="H50" s="316">
        <v>20</v>
      </c>
      <c r="I50" s="317">
        <f t="shared" si="20"/>
        <v>776.23</v>
      </c>
      <c r="J50" s="319">
        <v>40</v>
      </c>
      <c r="K50" s="317">
        <f t="shared" si="21"/>
        <v>388.12</v>
      </c>
      <c r="L50" s="319">
        <v>20</v>
      </c>
      <c r="M50" s="317">
        <f>$C50*N50/100</f>
        <v>194.06</v>
      </c>
      <c r="N50" s="319">
        <v>10</v>
      </c>
      <c r="O50" s="317"/>
      <c r="P50" s="319"/>
      <c r="Q50" s="317">
        <f t="shared" si="23"/>
        <v>1940.59</v>
      </c>
      <c r="R50" s="316">
        <f t="shared" si="9"/>
        <v>100</v>
      </c>
      <c r="T50" s="342">
        <f t="shared" si="3"/>
        <v>-0.01</v>
      </c>
    </row>
    <row r="51" spans="1:20" s="348" customFormat="1" x14ac:dyDescent="0.2">
      <c r="A51" s="309" t="e">
        <f>Orçam.!#REF!</f>
        <v>#REF!</v>
      </c>
      <c r="B51" s="349" t="e">
        <f>Orçam.!#REF!</f>
        <v>#REF!</v>
      </c>
      <c r="C51" s="317" t="e">
        <f>Orçam.!#REF!</f>
        <v>#REF!</v>
      </c>
      <c r="D51" s="318" t="e">
        <f t="shared" si="17"/>
        <v>#REF!</v>
      </c>
      <c r="E51" s="317" t="e">
        <f t="shared" si="18"/>
        <v>#REF!</v>
      </c>
      <c r="F51" s="319">
        <v>10</v>
      </c>
      <c r="G51" s="317" t="e">
        <f t="shared" si="19"/>
        <v>#REF!</v>
      </c>
      <c r="H51" s="316">
        <v>20</v>
      </c>
      <c r="I51" s="317" t="e">
        <f t="shared" si="20"/>
        <v>#REF!</v>
      </c>
      <c r="J51" s="319">
        <v>40</v>
      </c>
      <c r="K51" s="317" t="e">
        <f t="shared" si="21"/>
        <v>#REF!</v>
      </c>
      <c r="L51" s="319">
        <v>20</v>
      </c>
      <c r="M51" s="317" t="e">
        <f>$C51*N51/100</f>
        <v>#REF!</v>
      </c>
      <c r="N51" s="319">
        <v>10</v>
      </c>
      <c r="O51" s="317"/>
      <c r="P51" s="319"/>
      <c r="Q51" s="317" t="e">
        <f t="shared" si="23"/>
        <v>#REF!</v>
      </c>
      <c r="R51" s="316">
        <f t="shared" si="9"/>
        <v>100</v>
      </c>
      <c r="T51" s="342" t="e">
        <f t="shared" si="3"/>
        <v>#REF!</v>
      </c>
    </row>
    <row r="52" spans="1:20" s="348" customFormat="1" x14ac:dyDescent="0.2">
      <c r="A52" s="306" t="str">
        <f>Resumo!A16</f>
        <v>2.4</v>
      </c>
      <c r="B52" s="344" t="str">
        <f>Resumo!B16</f>
        <v>SINALIZAÇÃO</v>
      </c>
      <c r="C52" s="312"/>
      <c r="D52" s="318"/>
      <c r="E52" s="317"/>
      <c r="F52" s="319"/>
      <c r="G52" s="317"/>
      <c r="H52" s="316"/>
      <c r="I52" s="317"/>
      <c r="J52" s="319"/>
      <c r="K52" s="317"/>
      <c r="L52" s="319"/>
      <c r="M52" s="317"/>
      <c r="N52" s="319"/>
      <c r="O52" s="317"/>
      <c r="P52" s="319"/>
      <c r="Q52" s="317"/>
      <c r="R52" s="316"/>
      <c r="T52" s="342">
        <f t="shared" si="3"/>
        <v>0</v>
      </c>
    </row>
    <row r="53" spans="1:20" s="348" customFormat="1" x14ac:dyDescent="0.2">
      <c r="A53" s="309" t="str">
        <f>Orçam.!A39</f>
        <v>2.4.1</v>
      </c>
      <c r="B53" s="346" t="str">
        <f>Orçam.!D39</f>
        <v>SINALIZACAO DE TRANSITO - NOTURNA</v>
      </c>
      <c r="C53" s="317">
        <f>Orçam.!I39</f>
        <v>1805.61</v>
      </c>
      <c r="D53" s="318" t="e">
        <f>C53/$C$85</f>
        <v>#REF!</v>
      </c>
      <c r="E53" s="317">
        <f>$C53*F53/100</f>
        <v>1805.61</v>
      </c>
      <c r="F53" s="319">
        <v>100</v>
      </c>
      <c r="G53" s="317"/>
      <c r="H53" s="316"/>
      <c r="I53" s="317"/>
      <c r="J53" s="319"/>
      <c r="K53" s="317"/>
      <c r="L53" s="319"/>
      <c r="M53" s="317"/>
      <c r="N53" s="319"/>
      <c r="O53" s="317"/>
      <c r="P53" s="319"/>
      <c r="Q53" s="317">
        <f t="shared" ref="Q53" si="24">E53+G53+I53+K53+M53+O53</f>
        <v>1805.61</v>
      </c>
      <c r="R53" s="316">
        <f t="shared" si="9"/>
        <v>100</v>
      </c>
      <c r="T53" s="342">
        <f t="shared" si="3"/>
        <v>0</v>
      </c>
    </row>
    <row r="54" spans="1:20" s="348" customFormat="1" x14ac:dyDescent="0.2">
      <c r="A54" s="309"/>
      <c r="B54" s="346"/>
      <c r="C54" s="317"/>
      <c r="D54" s="318"/>
      <c r="E54" s="317"/>
      <c r="F54" s="319"/>
      <c r="G54" s="317"/>
      <c r="H54" s="316"/>
      <c r="I54" s="317"/>
      <c r="J54" s="319"/>
      <c r="K54" s="317"/>
      <c r="L54" s="319"/>
      <c r="M54" s="317"/>
      <c r="N54" s="319"/>
      <c r="O54" s="317"/>
      <c r="P54" s="319"/>
      <c r="Q54" s="317"/>
      <c r="R54" s="316"/>
      <c r="T54" s="342">
        <f>C54-Q54</f>
        <v>0</v>
      </c>
    </row>
    <row r="55" spans="1:20" s="302" customFormat="1" x14ac:dyDescent="0.2">
      <c r="A55" s="306">
        <f>Resumo!A18</f>
        <v>3</v>
      </c>
      <c r="B55" s="344" t="str">
        <f>Resumo!B18</f>
        <v>PAVIMENTAÇÃO EM CBUQ</v>
      </c>
      <c r="C55" s="312"/>
      <c r="D55" s="318"/>
      <c r="E55" s="312"/>
      <c r="F55" s="314"/>
      <c r="G55" s="312"/>
      <c r="H55" s="315"/>
      <c r="I55" s="312"/>
      <c r="J55" s="314"/>
      <c r="K55" s="312"/>
      <c r="L55" s="314"/>
      <c r="M55" s="312"/>
      <c r="N55" s="314"/>
      <c r="O55" s="312"/>
      <c r="P55" s="314"/>
      <c r="Q55" s="312"/>
      <c r="R55" s="316"/>
      <c r="T55" s="342">
        <f t="shared" si="3"/>
        <v>0</v>
      </c>
    </row>
    <row r="56" spans="1:20" s="348" customFormat="1" x14ac:dyDescent="0.2">
      <c r="A56" s="306" t="str">
        <f>Resumo!A19</f>
        <v>3.1</v>
      </c>
      <c r="B56" s="350" t="str">
        <f>Resumo!B19</f>
        <v>TERRAPLENAGEM</v>
      </c>
      <c r="C56" s="317"/>
      <c r="D56" s="318"/>
      <c r="E56" s="317"/>
      <c r="F56" s="319"/>
      <c r="G56" s="317"/>
      <c r="H56" s="316"/>
      <c r="I56" s="317"/>
      <c r="J56" s="319"/>
      <c r="K56" s="317"/>
      <c r="L56" s="319"/>
      <c r="M56" s="317"/>
      <c r="N56" s="319"/>
      <c r="O56" s="317"/>
      <c r="P56" s="319"/>
      <c r="Q56" s="317"/>
      <c r="R56" s="316"/>
      <c r="T56" s="342">
        <f t="shared" si="3"/>
        <v>0</v>
      </c>
    </row>
    <row r="57" spans="1:20" s="348" customFormat="1" x14ac:dyDescent="0.2">
      <c r="A57" s="309" t="e">
        <f>Orçam.!#REF!</f>
        <v>#REF!</v>
      </c>
      <c r="B57" s="351" t="e">
        <f>Orçam.!#REF!</f>
        <v>#REF!</v>
      </c>
      <c r="C57" s="317" t="e">
        <f>Orçam.!#REF!</f>
        <v>#REF!</v>
      </c>
      <c r="D57" s="318" t="e">
        <f>C57/$C$85</f>
        <v>#REF!</v>
      </c>
      <c r="E57" s="317" t="e">
        <f t="shared" ref="E57:E60" si="25">$C57*F57/100</f>
        <v>#REF!</v>
      </c>
      <c r="F57" s="319">
        <v>50</v>
      </c>
      <c r="G57" s="317" t="e">
        <f t="shared" ref="G57:G60" si="26">$C57*H57/100</f>
        <v>#REF!</v>
      </c>
      <c r="H57" s="316">
        <v>30</v>
      </c>
      <c r="I57" s="317" t="e">
        <f t="shared" ref="I57:I60" si="27">$C57*J57/100</f>
        <v>#REF!</v>
      </c>
      <c r="J57" s="319">
        <v>20</v>
      </c>
      <c r="K57" s="317"/>
      <c r="L57" s="319"/>
      <c r="M57" s="317"/>
      <c r="N57" s="319"/>
      <c r="O57" s="317"/>
      <c r="P57" s="319"/>
      <c r="Q57" s="317" t="e">
        <f t="shared" ref="Q57:R72" si="28">E57+G57+I57+K57+M57+O57</f>
        <v>#REF!</v>
      </c>
      <c r="R57" s="316">
        <f t="shared" si="28"/>
        <v>100</v>
      </c>
      <c r="T57" s="342" t="e">
        <f t="shared" si="3"/>
        <v>#REF!</v>
      </c>
    </row>
    <row r="58" spans="1:20" s="348" customFormat="1" ht="25.5" x14ac:dyDescent="0.2">
      <c r="A58" s="309" t="str">
        <f>Orçam.!A43</f>
        <v>3.1.1</v>
      </c>
      <c r="B58" s="351" t="str">
        <f>Orçam.!D43</f>
        <v>ESCAVACAO MECANICA DE MATERIAL 1A. CATEGORIA, PROVENIENTE DE CORTE DE SUBLEITO (C/TRATOR ESTEIRAS 160HP)</v>
      </c>
      <c r="C58" s="317">
        <f>Orçam.!I43</f>
        <v>17302.21</v>
      </c>
      <c r="D58" s="318" t="e">
        <f>C58/$C$85</f>
        <v>#REF!</v>
      </c>
      <c r="E58" s="317">
        <f t="shared" si="25"/>
        <v>8651.11</v>
      </c>
      <c r="F58" s="319">
        <v>50</v>
      </c>
      <c r="G58" s="317">
        <f t="shared" si="26"/>
        <v>5190.66</v>
      </c>
      <c r="H58" s="316">
        <v>30</v>
      </c>
      <c r="I58" s="317">
        <f>$C58*J58/100-0.01</f>
        <v>3460.43</v>
      </c>
      <c r="J58" s="319">
        <v>20</v>
      </c>
      <c r="K58" s="317"/>
      <c r="L58" s="319"/>
      <c r="M58" s="317"/>
      <c r="N58" s="319"/>
      <c r="O58" s="317"/>
      <c r="P58" s="319"/>
      <c r="Q58" s="317">
        <f t="shared" si="28"/>
        <v>17302.2</v>
      </c>
      <c r="R58" s="316">
        <f t="shared" si="28"/>
        <v>100</v>
      </c>
      <c r="T58" s="342">
        <f t="shared" si="3"/>
        <v>0.01</v>
      </c>
    </row>
    <row r="59" spans="1:20" s="348" customFormat="1" x14ac:dyDescent="0.2">
      <c r="A59" s="309" t="e">
        <f>Orçam.!#REF!</f>
        <v>#REF!</v>
      </c>
      <c r="B59" s="351" t="e">
        <f>Orçam.!#REF!</f>
        <v>#REF!</v>
      </c>
      <c r="C59" s="317" t="e">
        <f>Orçam.!#REF!</f>
        <v>#REF!</v>
      </c>
      <c r="D59" s="318" t="e">
        <f>C59/$C$85</f>
        <v>#REF!</v>
      </c>
      <c r="E59" s="317" t="e">
        <f t="shared" si="25"/>
        <v>#REF!</v>
      </c>
      <c r="F59" s="319">
        <v>50</v>
      </c>
      <c r="G59" s="317" t="e">
        <f t="shared" si="26"/>
        <v>#REF!</v>
      </c>
      <c r="H59" s="316">
        <v>30</v>
      </c>
      <c r="I59" s="317" t="e">
        <f t="shared" si="27"/>
        <v>#REF!</v>
      </c>
      <c r="J59" s="319">
        <v>20</v>
      </c>
      <c r="K59" s="317"/>
      <c r="L59" s="319"/>
      <c r="M59" s="317"/>
      <c r="N59" s="319"/>
      <c r="O59" s="317"/>
      <c r="P59" s="319"/>
      <c r="Q59" s="317" t="e">
        <f t="shared" si="28"/>
        <v>#REF!</v>
      </c>
      <c r="R59" s="316">
        <f t="shared" si="28"/>
        <v>100</v>
      </c>
      <c r="T59" s="342" t="e">
        <f t="shared" si="3"/>
        <v>#REF!</v>
      </c>
    </row>
    <row r="60" spans="1:20" s="348" customFormat="1" ht="25.5" x14ac:dyDescent="0.2">
      <c r="A60" s="309" t="str">
        <f>Orçam.!A44</f>
        <v>3.1.2</v>
      </c>
      <c r="B60" s="351" t="str">
        <f>Orçam.!D44</f>
        <v>TRANSPORTE COM CAMINHÃO BASCULANTE 6 M3 EM RODOVIA COM REVESTIMENTO PRIMÁRIO - BOTA FORA(2,0KM)</v>
      </c>
      <c r="C60" s="317">
        <f>Orçam.!I44</f>
        <v>44553.21</v>
      </c>
      <c r="D60" s="318" t="e">
        <f>C60/$C$85</f>
        <v>#REF!</v>
      </c>
      <c r="E60" s="317">
        <f t="shared" si="25"/>
        <v>22276.61</v>
      </c>
      <c r="F60" s="319">
        <v>50</v>
      </c>
      <c r="G60" s="317">
        <f t="shared" si="26"/>
        <v>13365.96</v>
      </c>
      <c r="H60" s="316">
        <v>30</v>
      </c>
      <c r="I60" s="317">
        <f t="shared" si="27"/>
        <v>8910.64</v>
      </c>
      <c r="J60" s="319">
        <v>20</v>
      </c>
      <c r="K60" s="317"/>
      <c r="L60" s="319"/>
      <c r="M60" s="317"/>
      <c r="N60" s="319"/>
      <c r="O60" s="317"/>
      <c r="P60" s="319"/>
      <c r="Q60" s="317">
        <f t="shared" si="28"/>
        <v>44553.21</v>
      </c>
      <c r="R60" s="316">
        <f t="shared" si="28"/>
        <v>100</v>
      </c>
      <c r="T60" s="342">
        <f t="shared" si="3"/>
        <v>0</v>
      </c>
    </row>
    <row r="61" spans="1:20" s="348" customFormat="1" x14ac:dyDescent="0.2">
      <c r="A61" s="306" t="str">
        <f>Resumo!A20</f>
        <v>3.2</v>
      </c>
      <c r="B61" s="350" t="str">
        <f>Resumo!B20</f>
        <v>PAVIMENTAÇÃO</v>
      </c>
      <c r="C61" s="312"/>
      <c r="D61" s="318"/>
      <c r="E61" s="317"/>
      <c r="F61" s="319"/>
      <c r="G61" s="317"/>
      <c r="H61" s="316"/>
      <c r="I61" s="317"/>
      <c r="J61" s="319"/>
      <c r="K61" s="317"/>
      <c r="L61" s="319"/>
      <c r="M61" s="317"/>
      <c r="N61" s="319"/>
      <c r="O61" s="317"/>
      <c r="P61" s="319"/>
      <c r="Q61" s="317"/>
      <c r="R61" s="316"/>
      <c r="T61" s="342">
        <f t="shared" si="3"/>
        <v>0</v>
      </c>
    </row>
    <row r="62" spans="1:20" s="348" customFormat="1" ht="25.5" x14ac:dyDescent="0.2">
      <c r="A62" s="310" t="str">
        <f>Orçam.!A47</f>
        <v>3.2.1</v>
      </c>
      <c r="B62" s="351" t="str">
        <f>Orçam.!D47</f>
        <v>REGULARIZACAO E COMPACTACAO DE SUBLEITO ATE 20 CM DE ESPESSURA</v>
      </c>
      <c r="C62" s="323">
        <f>Orçam.!I47</f>
        <v>54383.09</v>
      </c>
      <c r="D62" s="324" t="e">
        <f t="shared" ref="D62:D73" si="29">C62/$C$85</f>
        <v>#REF!</v>
      </c>
      <c r="E62" s="317">
        <f t="shared" ref="E62:E73" si="30">$C62*F62/100</f>
        <v>2719.15</v>
      </c>
      <c r="F62" s="319">
        <v>5</v>
      </c>
      <c r="G62" s="317">
        <f t="shared" ref="G62:G73" si="31">$C62*H62/100</f>
        <v>10876.62</v>
      </c>
      <c r="H62" s="316">
        <v>20</v>
      </c>
      <c r="I62" s="317">
        <f t="shared" ref="I62:I73" si="32">$C62*J62/100</f>
        <v>10876.62</v>
      </c>
      <c r="J62" s="319">
        <v>20</v>
      </c>
      <c r="K62" s="317">
        <f t="shared" ref="K62:K73" si="33">$C62*L62/100</f>
        <v>16314.93</v>
      </c>
      <c r="L62" s="319">
        <v>30</v>
      </c>
      <c r="M62" s="317">
        <f t="shared" ref="M62:M73" si="34">$C62*N62/100</f>
        <v>8157.46</v>
      </c>
      <c r="N62" s="319">
        <v>15</v>
      </c>
      <c r="O62" s="317">
        <f>$C62*P62/100-0.01</f>
        <v>5438.3</v>
      </c>
      <c r="P62" s="319">
        <v>10</v>
      </c>
      <c r="Q62" s="317">
        <f t="shared" ref="Q62:R79" si="35">E62+G62+I62+K62+M62+O62</f>
        <v>54383.08</v>
      </c>
      <c r="R62" s="316">
        <f t="shared" si="28"/>
        <v>100</v>
      </c>
      <c r="T62" s="342">
        <f t="shared" si="3"/>
        <v>0.01</v>
      </c>
    </row>
    <row r="63" spans="1:20" s="348" customFormat="1" x14ac:dyDescent="0.2">
      <c r="A63" s="310" t="e">
        <f>Orçam.!#REF!</f>
        <v>#REF!</v>
      </c>
      <c r="B63" s="351" t="e">
        <f>Orçam.!#REF!</f>
        <v>#REF!</v>
      </c>
      <c r="C63" s="323" t="e">
        <f>Orçam.!#REF!</f>
        <v>#REF!</v>
      </c>
      <c r="D63" s="324" t="e">
        <f t="shared" si="29"/>
        <v>#REF!</v>
      </c>
      <c r="E63" s="317" t="e">
        <f t="shared" si="30"/>
        <v>#REF!</v>
      </c>
      <c r="F63" s="319">
        <v>5</v>
      </c>
      <c r="G63" s="317" t="e">
        <f t="shared" si="31"/>
        <v>#REF!</v>
      </c>
      <c r="H63" s="316">
        <v>20</v>
      </c>
      <c r="I63" s="317" t="e">
        <f t="shared" si="32"/>
        <v>#REF!</v>
      </c>
      <c r="J63" s="319">
        <v>20</v>
      </c>
      <c r="K63" s="317" t="e">
        <f t="shared" si="33"/>
        <v>#REF!</v>
      </c>
      <c r="L63" s="319">
        <v>30</v>
      </c>
      <c r="M63" s="317" t="e">
        <f t="shared" si="34"/>
        <v>#REF!</v>
      </c>
      <c r="N63" s="319">
        <v>15</v>
      </c>
      <c r="O63" s="317" t="e">
        <f>$C63*P63/100-0.01</f>
        <v>#REF!</v>
      </c>
      <c r="P63" s="319">
        <v>10</v>
      </c>
      <c r="Q63" s="317" t="e">
        <f t="shared" si="35"/>
        <v>#REF!</v>
      </c>
      <c r="R63" s="316">
        <f t="shared" si="28"/>
        <v>100</v>
      </c>
      <c r="T63" s="342" t="e">
        <f t="shared" si="3"/>
        <v>#REF!</v>
      </c>
    </row>
    <row r="64" spans="1:20" s="348" customFormat="1" x14ac:dyDescent="0.2">
      <c r="A64" s="310" t="e">
        <f>Orçam.!#REF!</f>
        <v>#REF!</v>
      </c>
      <c r="B64" s="351" t="e">
        <f>Orçam.!#REF!</f>
        <v>#REF!</v>
      </c>
      <c r="C64" s="323" t="e">
        <f>Orçam.!#REF!</f>
        <v>#REF!</v>
      </c>
      <c r="D64" s="324" t="e">
        <f t="shared" si="29"/>
        <v>#REF!</v>
      </c>
      <c r="E64" s="317" t="e">
        <f t="shared" si="30"/>
        <v>#REF!</v>
      </c>
      <c r="F64" s="319">
        <v>5</v>
      </c>
      <c r="G64" s="317" t="e">
        <f t="shared" si="31"/>
        <v>#REF!</v>
      </c>
      <c r="H64" s="316">
        <v>20</v>
      </c>
      <c r="I64" s="317" t="e">
        <f t="shared" si="32"/>
        <v>#REF!</v>
      </c>
      <c r="J64" s="319">
        <v>20</v>
      </c>
      <c r="K64" s="317" t="e">
        <f t="shared" si="33"/>
        <v>#REF!</v>
      </c>
      <c r="L64" s="319">
        <v>30</v>
      </c>
      <c r="M64" s="317" t="e">
        <f t="shared" si="34"/>
        <v>#REF!</v>
      </c>
      <c r="N64" s="319">
        <v>15</v>
      </c>
      <c r="O64" s="317" t="e">
        <f>$C64*P64/100</f>
        <v>#REF!</v>
      </c>
      <c r="P64" s="319">
        <v>10</v>
      </c>
      <c r="Q64" s="317" t="e">
        <f t="shared" si="35"/>
        <v>#REF!</v>
      </c>
      <c r="R64" s="316">
        <f t="shared" si="28"/>
        <v>100</v>
      </c>
      <c r="T64" s="342" t="e">
        <f t="shared" si="3"/>
        <v>#REF!</v>
      </c>
    </row>
    <row r="65" spans="1:20" s="348" customFormat="1" ht="38.25" x14ac:dyDescent="0.2">
      <c r="A65" s="310" t="str">
        <f>Orçam.!A50</f>
        <v>3.2.4</v>
      </c>
      <c r="B65" s="351" t="str">
        <f>Orçam.!D50</f>
        <v>EXECUÇÃO E COMPACTAÇÃO DE BASE COM SOLO ESTABILIZADO GRA NULOMETRICAMENTE - EXCLUSIVE ESCAVAÇÃO, CARGA E TRANSPORTE E SOLO. AF_09/2017</v>
      </c>
      <c r="C65" s="323">
        <f>Orçam.!I50</f>
        <v>40147.550000000003</v>
      </c>
      <c r="D65" s="324" t="e">
        <f t="shared" si="29"/>
        <v>#REF!</v>
      </c>
      <c r="E65" s="317">
        <f t="shared" si="30"/>
        <v>2007.38</v>
      </c>
      <c r="F65" s="319">
        <v>5</v>
      </c>
      <c r="G65" s="317">
        <f t="shared" si="31"/>
        <v>8029.51</v>
      </c>
      <c r="H65" s="316">
        <v>20</v>
      </c>
      <c r="I65" s="317">
        <f t="shared" si="32"/>
        <v>8029.51</v>
      </c>
      <c r="J65" s="319">
        <v>20</v>
      </c>
      <c r="K65" s="317">
        <f t="shared" si="33"/>
        <v>12044.27</v>
      </c>
      <c r="L65" s="319">
        <v>30</v>
      </c>
      <c r="M65" s="317">
        <f t="shared" si="34"/>
        <v>6022.13</v>
      </c>
      <c r="N65" s="319">
        <v>15</v>
      </c>
      <c r="O65" s="317">
        <f>$C65*P65/100</f>
        <v>4014.76</v>
      </c>
      <c r="P65" s="319">
        <v>10</v>
      </c>
      <c r="Q65" s="317">
        <f t="shared" si="35"/>
        <v>40147.56</v>
      </c>
      <c r="R65" s="316">
        <f t="shared" si="28"/>
        <v>100</v>
      </c>
      <c r="T65" s="342">
        <f t="shared" si="3"/>
        <v>-0.01</v>
      </c>
    </row>
    <row r="66" spans="1:20" s="348" customFormat="1" ht="38.25" x14ac:dyDescent="0.2">
      <c r="A66" s="310" t="str">
        <f>Orçam.!A51</f>
        <v>3.2.5</v>
      </c>
      <c r="B66" s="351" t="str">
        <f>Orçam.!D51</f>
        <v>EXECUÇÃO E COMPACTAÇÃO DE SUB BASE COM SOLO ESTABILIZADO GRA NULOMETRICAMENTE - EXCLUSIVE ESCAVAÇÃO, CARGA E TRANSPORTE E SOLO. AF_09/2017</v>
      </c>
      <c r="C66" s="323">
        <f>Orçam.!I51</f>
        <v>40147.550000000003</v>
      </c>
      <c r="D66" s="324" t="e">
        <f t="shared" si="29"/>
        <v>#REF!</v>
      </c>
      <c r="E66" s="317">
        <f t="shared" si="30"/>
        <v>2007.38</v>
      </c>
      <c r="F66" s="319">
        <v>5</v>
      </c>
      <c r="G66" s="317">
        <f t="shared" si="31"/>
        <v>8029.51</v>
      </c>
      <c r="H66" s="316">
        <v>20</v>
      </c>
      <c r="I66" s="317">
        <f t="shared" si="32"/>
        <v>8029.51</v>
      </c>
      <c r="J66" s="319">
        <v>20</v>
      </c>
      <c r="K66" s="317">
        <f t="shared" si="33"/>
        <v>12044.27</v>
      </c>
      <c r="L66" s="319">
        <v>30</v>
      </c>
      <c r="M66" s="317">
        <f t="shared" si="34"/>
        <v>6022.13</v>
      </c>
      <c r="N66" s="319">
        <v>15</v>
      </c>
      <c r="O66" s="317">
        <f t="shared" ref="O66:O70" si="36">$C66*P66/100+0.01</f>
        <v>4014.77</v>
      </c>
      <c r="P66" s="319">
        <v>10</v>
      </c>
      <c r="Q66" s="317">
        <f t="shared" si="35"/>
        <v>40147.57</v>
      </c>
      <c r="R66" s="316">
        <f t="shared" ref="R66:R71" si="37">F66+H66+J66+L66+N66+P66</f>
        <v>100</v>
      </c>
      <c r="T66" s="342">
        <f t="shared" si="3"/>
        <v>-0.02</v>
      </c>
    </row>
    <row r="67" spans="1:20" s="348" customFormat="1" x14ac:dyDescent="0.2">
      <c r="A67" s="310" t="str">
        <f>Orçam.!A52</f>
        <v>3.2.6</v>
      </c>
      <c r="B67" s="351" t="str">
        <f>Orçam.!D52</f>
        <v>IMPRIMACAO DE BASE DE PAVIMENTACAO COM EMULSAO CM-30</v>
      </c>
      <c r="C67" s="323">
        <f>Orçam.!I52</f>
        <v>252789.57</v>
      </c>
      <c r="D67" s="324" t="e">
        <f t="shared" si="29"/>
        <v>#REF!</v>
      </c>
      <c r="E67" s="317">
        <f t="shared" si="30"/>
        <v>12639.48</v>
      </c>
      <c r="F67" s="319">
        <v>5</v>
      </c>
      <c r="G67" s="317">
        <f t="shared" si="31"/>
        <v>50557.91</v>
      </c>
      <c r="H67" s="316">
        <v>20</v>
      </c>
      <c r="I67" s="317">
        <f t="shared" si="32"/>
        <v>50557.91</v>
      </c>
      <c r="J67" s="319">
        <v>20</v>
      </c>
      <c r="K67" s="317">
        <f t="shared" si="33"/>
        <v>75836.87</v>
      </c>
      <c r="L67" s="319">
        <v>30</v>
      </c>
      <c r="M67" s="317">
        <f t="shared" si="34"/>
        <v>37918.44</v>
      </c>
      <c r="N67" s="319">
        <v>15</v>
      </c>
      <c r="O67" s="317">
        <f>$C67*P67/100</f>
        <v>25278.959999999999</v>
      </c>
      <c r="P67" s="319">
        <v>10</v>
      </c>
      <c r="Q67" s="317">
        <f t="shared" si="35"/>
        <v>252789.57</v>
      </c>
      <c r="R67" s="316">
        <f t="shared" si="28"/>
        <v>100</v>
      </c>
      <c r="T67" s="342">
        <f t="shared" si="3"/>
        <v>0</v>
      </c>
    </row>
    <row r="68" spans="1:20" s="348" customFormat="1" x14ac:dyDescent="0.2">
      <c r="A68" s="310" t="e">
        <f>Orçam.!#REF!</f>
        <v>#REF!</v>
      </c>
      <c r="B68" s="351" t="e">
        <f>Orçam.!#REF!</f>
        <v>#REF!</v>
      </c>
      <c r="C68" s="323" t="e">
        <f>Orçam.!#REF!</f>
        <v>#REF!</v>
      </c>
      <c r="D68" s="324" t="e">
        <f t="shared" si="29"/>
        <v>#REF!</v>
      </c>
      <c r="E68" s="317" t="e">
        <f t="shared" si="30"/>
        <v>#REF!</v>
      </c>
      <c r="F68" s="319">
        <v>5</v>
      </c>
      <c r="G68" s="317" t="e">
        <f t="shared" si="31"/>
        <v>#REF!</v>
      </c>
      <c r="H68" s="316">
        <v>20</v>
      </c>
      <c r="I68" s="317" t="e">
        <f t="shared" si="32"/>
        <v>#REF!</v>
      </c>
      <c r="J68" s="319">
        <v>20</v>
      </c>
      <c r="K68" s="317" t="e">
        <f t="shared" si="33"/>
        <v>#REF!</v>
      </c>
      <c r="L68" s="319">
        <v>30</v>
      </c>
      <c r="M68" s="317" t="e">
        <f t="shared" si="34"/>
        <v>#REF!</v>
      </c>
      <c r="N68" s="319">
        <v>15</v>
      </c>
      <c r="O68" s="317" t="e">
        <f>$C68*P68/100</f>
        <v>#REF!</v>
      </c>
      <c r="P68" s="319">
        <v>10</v>
      </c>
      <c r="Q68" s="317" t="e">
        <f t="shared" si="35"/>
        <v>#REF!</v>
      </c>
      <c r="R68" s="316">
        <f t="shared" si="28"/>
        <v>100</v>
      </c>
      <c r="T68" s="342" t="e">
        <f t="shared" si="3"/>
        <v>#REF!</v>
      </c>
    </row>
    <row r="69" spans="1:20" s="348" customFormat="1" ht="38.25" x14ac:dyDescent="0.2">
      <c r="A69" s="310" t="str">
        <f>Orçam.!A53</f>
        <v>3.2.7</v>
      </c>
      <c r="B69" s="351" t="str">
        <f>Orçam.!D53</f>
        <v>EXECUÇÃO DE PAVIMENTO COM APLICAÇÃO DE CONCRETO ASFÁLTICO, CAMADA DE ROLAMENTO - EXCLUSIVE CARGA E TRANSPORTE. AF_11/2019</v>
      </c>
      <c r="C69" s="323">
        <f>Orçam.!I53</f>
        <v>1058118.6499999999</v>
      </c>
      <c r="D69" s="324" t="e">
        <f t="shared" si="29"/>
        <v>#REF!</v>
      </c>
      <c r="E69" s="317">
        <f t="shared" si="30"/>
        <v>52905.93</v>
      </c>
      <c r="F69" s="319">
        <v>5</v>
      </c>
      <c r="G69" s="317">
        <f t="shared" si="31"/>
        <v>211623.73</v>
      </c>
      <c r="H69" s="316">
        <v>20</v>
      </c>
      <c r="I69" s="317">
        <f t="shared" si="32"/>
        <v>211623.73</v>
      </c>
      <c r="J69" s="319">
        <v>20</v>
      </c>
      <c r="K69" s="317">
        <f t="shared" si="33"/>
        <v>317435.59999999998</v>
      </c>
      <c r="L69" s="319">
        <v>30</v>
      </c>
      <c r="M69" s="317">
        <f t="shared" si="34"/>
        <v>158717.79999999999</v>
      </c>
      <c r="N69" s="319">
        <v>15</v>
      </c>
      <c r="O69" s="317">
        <f>$C69*P69/100</f>
        <v>105811.87</v>
      </c>
      <c r="P69" s="319">
        <v>10</v>
      </c>
      <c r="Q69" s="317">
        <f t="shared" si="35"/>
        <v>1058118.6599999999</v>
      </c>
      <c r="R69" s="316">
        <f t="shared" si="28"/>
        <v>100</v>
      </c>
      <c r="T69" s="342">
        <f>C69-Q69</f>
        <v>-0.01</v>
      </c>
    </row>
    <row r="70" spans="1:20" s="348" customFormat="1" x14ac:dyDescent="0.2">
      <c r="A70" s="310" t="e">
        <f>Orçam.!#REF!</f>
        <v>#REF!</v>
      </c>
      <c r="B70" s="351" t="e">
        <f>Orçam.!#REF!</f>
        <v>#REF!</v>
      </c>
      <c r="C70" s="323" t="e">
        <f>Orçam.!#REF!</f>
        <v>#REF!</v>
      </c>
      <c r="D70" s="324" t="e">
        <f t="shared" si="29"/>
        <v>#REF!</v>
      </c>
      <c r="E70" s="317" t="e">
        <f t="shared" si="30"/>
        <v>#REF!</v>
      </c>
      <c r="F70" s="319">
        <v>5</v>
      </c>
      <c r="G70" s="317" t="e">
        <f t="shared" si="31"/>
        <v>#REF!</v>
      </c>
      <c r="H70" s="316">
        <v>20</v>
      </c>
      <c r="I70" s="317" t="e">
        <f t="shared" si="32"/>
        <v>#REF!</v>
      </c>
      <c r="J70" s="319">
        <v>20</v>
      </c>
      <c r="K70" s="317" t="e">
        <f t="shared" si="33"/>
        <v>#REF!</v>
      </c>
      <c r="L70" s="319">
        <v>30</v>
      </c>
      <c r="M70" s="317" t="e">
        <f t="shared" si="34"/>
        <v>#REF!</v>
      </c>
      <c r="N70" s="319">
        <v>15</v>
      </c>
      <c r="O70" s="317" t="e">
        <f t="shared" si="36"/>
        <v>#REF!</v>
      </c>
      <c r="P70" s="319">
        <v>10</v>
      </c>
      <c r="Q70" s="317" t="e">
        <f t="shared" si="35"/>
        <v>#REF!</v>
      </c>
      <c r="R70" s="316">
        <f t="shared" si="28"/>
        <v>100</v>
      </c>
      <c r="T70" s="342" t="e">
        <f t="shared" si="3"/>
        <v>#REF!</v>
      </c>
    </row>
    <row r="71" spans="1:20" s="348" customFormat="1" x14ac:dyDescent="0.2">
      <c r="A71" s="310" t="e">
        <f>Orçam.!#REF!</f>
        <v>#REF!</v>
      </c>
      <c r="B71" s="351" t="e">
        <f>Orçam.!#REF!</f>
        <v>#REF!</v>
      </c>
      <c r="C71" s="323" t="e">
        <f>Orçam.!#REF!</f>
        <v>#REF!</v>
      </c>
      <c r="D71" s="324" t="e">
        <f t="shared" si="29"/>
        <v>#REF!</v>
      </c>
      <c r="E71" s="317" t="e">
        <f t="shared" si="30"/>
        <v>#REF!</v>
      </c>
      <c r="F71" s="319">
        <v>5</v>
      </c>
      <c r="G71" s="317" t="e">
        <f t="shared" si="31"/>
        <v>#REF!</v>
      </c>
      <c r="H71" s="316">
        <v>20</v>
      </c>
      <c r="I71" s="317" t="e">
        <f t="shared" si="32"/>
        <v>#REF!</v>
      </c>
      <c r="J71" s="319">
        <v>20</v>
      </c>
      <c r="K71" s="317" t="e">
        <f t="shared" si="33"/>
        <v>#REF!</v>
      </c>
      <c r="L71" s="319">
        <v>30</v>
      </c>
      <c r="M71" s="317" t="e">
        <f t="shared" si="34"/>
        <v>#REF!</v>
      </c>
      <c r="N71" s="319">
        <v>15</v>
      </c>
      <c r="O71" s="317" t="e">
        <f>$C71*P71/100</f>
        <v>#REF!</v>
      </c>
      <c r="P71" s="319">
        <v>10</v>
      </c>
      <c r="Q71" s="317" t="e">
        <f t="shared" si="35"/>
        <v>#REF!</v>
      </c>
      <c r="R71" s="316">
        <f t="shared" si="37"/>
        <v>100</v>
      </c>
      <c r="T71" s="342" t="e">
        <f t="shared" si="3"/>
        <v>#REF!</v>
      </c>
    </row>
    <row r="72" spans="1:20" s="348" customFormat="1" ht="25.5" x14ac:dyDescent="0.2">
      <c r="A72" s="310" t="str">
        <f>Orçam.!A54</f>
        <v>3.2.8</v>
      </c>
      <c r="B72" s="351" t="str">
        <f>Orçam.!D54</f>
        <v>EXECUÇÃO DE PINTURA DE LIGAÇÃO COM EMULSÃO ASFÁLTICA RR-2C. AF_11/2019</v>
      </c>
      <c r="C72" s="323">
        <f>Orçam.!I54</f>
        <v>56659.73</v>
      </c>
      <c r="D72" s="324" t="e">
        <f t="shared" si="29"/>
        <v>#REF!</v>
      </c>
      <c r="E72" s="317">
        <f t="shared" si="30"/>
        <v>2832.99</v>
      </c>
      <c r="F72" s="319">
        <v>5</v>
      </c>
      <c r="G72" s="317">
        <f t="shared" si="31"/>
        <v>11331.95</v>
      </c>
      <c r="H72" s="316">
        <v>20</v>
      </c>
      <c r="I72" s="317">
        <f t="shared" si="32"/>
        <v>11331.95</v>
      </c>
      <c r="J72" s="319">
        <v>20</v>
      </c>
      <c r="K72" s="317">
        <f t="shared" si="33"/>
        <v>16997.919999999998</v>
      </c>
      <c r="L72" s="319">
        <v>30</v>
      </c>
      <c r="M72" s="317">
        <f t="shared" si="34"/>
        <v>8498.9599999999991</v>
      </c>
      <c r="N72" s="319">
        <v>15</v>
      </c>
      <c r="O72" s="317">
        <f>$C72*P72/100-0.01</f>
        <v>5665.96</v>
      </c>
      <c r="P72" s="319">
        <v>10</v>
      </c>
      <c r="Q72" s="317">
        <f t="shared" si="35"/>
        <v>56659.73</v>
      </c>
      <c r="R72" s="316">
        <f t="shared" si="28"/>
        <v>100</v>
      </c>
      <c r="T72" s="342">
        <f t="shared" si="3"/>
        <v>0</v>
      </c>
    </row>
    <row r="73" spans="1:20" s="348" customFormat="1" ht="25.5" x14ac:dyDescent="0.2">
      <c r="A73" s="310" t="str">
        <f>Orçam.!A56</f>
        <v>3.2.10</v>
      </c>
      <c r="B73" s="351" t="str">
        <f>Orçam.!D56</f>
        <v>TRANSPORTE COMERCIAL DE BRITA  76 KM - JAZIDA A BARRA DO BUGRES</v>
      </c>
      <c r="C73" s="323">
        <f>Orçam.!I56</f>
        <v>61681.49</v>
      </c>
      <c r="D73" s="324" t="e">
        <f t="shared" si="29"/>
        <v>#REF!</v>
      </c>
      <c r="E73" s="317">
        <f t="shared" si="30"/>
        <v>3084.07</v>
      </c>
      <c r="F73" s="319">
        <v>5</v>
      </c>
      <c r="G73" s="317">
        <f t="shared" si="31"/>
        <v>12336.3</v>
      </c>
      <c r="H73" s="316">
        <v>20</v>
      </c>
      <c r="I73" s="317">
        <f t="shared" si="32"/>
        <v>12336.3</v>
      </c>
      <c r="J73" s="319">
        <v>20</v>
      </c>
      <c r="K73" s="317">
        <f t="shared" si="33"/>
        <v>18504.45</v>
      </c>
      <c r="L73" s="319">
        <v>30</v>
      </c>
      <c r="M73" s="317">
        <f t="shared" si="34"/>
        <v>9252.2199999999993</v>
      </c>
      <c r="N73" s="319">
        <v>15</v>
      </c>
      <c r="O73" s="317">
        <f>$C73*P73/100-0.01</f>
        <v>6168.14</v>
      </c>
      <c r="P73" s="319">
        <v>10</v>
      </c>
      <c r="Q73" s="317">
        <f t="shared" si="35"/>
        <v>61681.48</v>
      </c>
      <c r="R73" s="316">
        <f t="shared" si="35"/>
        <v>100</v>
      </c>
      <c r="T73" s="342">
        <f t="shared" si="3"/>
        <v>0.01</v>
      </c>
    </row>
    <row r="74" spans="1:20" s="348" customFormat="1" x14ac:dyDescent="0.2">
      <c r="A74" s="306" t="str">
        <f>Resumo!A21</f>
        <v>3.3</v>
      </c>
      <c r="B74" s="350" t="str">
        <f>Resumo!B21</f>
        <v>OBRAS COMPLEMENTARES</v>
      </c>
      <c r="C74" s="312"/>
      <c r="D74" s="318"/>
      <c r="E74" s="317"/>
      <c r="F74" s="319"/>
      <c r="G74" s="317"/>
      <c r="H74" s="316"/>
      <c r="I74" s="317"/>
      <c r="J74" s="319"/>
      <c r="K74" s="317"/>
      <c r="L74" s="319"/>
      <c r="M74" s="317"/>
      <c r="N74" s="319"/>
      <c r="O74" s="317"/>
      <c r="P74" s="319"/>
      <c r="Q74" s="317"/>
      <c r="R74" s="316"/>
      <c r="T74" s="342">
        <f t="shared" si="3"/>
        <v>0</v>
      </c>
    </row>
    <row r="75" spans="1:20" s="348" customFormat="1" x14ac:dyDescent="0.2">
      <c r="A75" s="309" t="e">
        <f>Orçam.!#REF!</f>
        <v>#REF!</v>
      </c>
      <c r="B75" s="351" t="e">
        <f>Orçam.!#REF!</f>
        <v>#REF!</v>
      </c>
      <c r="C75" s="317" t="e">
        <f>Orçam.!#REF!</f>
        <v>#REF!</v>
      </c>
      <c r="D75" s="318" t="e">
        <f>C75/$C$85</f>
        <v>#REF!</v>
      </c>
      <c r="E75" s="317"/>
      <c r="F75" s="319"/>
      <c r="G75" s="317"/>
      <c r="H75" s="316"/>
      <c r="I75" s="317" t="e">
        <f>$C75*J75/100</f>
        <v>#REF!</v>
      </c>
      <c r="J75" s="319">
        <v>20</v>
      </c>
      <c r="K75" s="317" t="e">
        <f>$C75*L75/100</f>
        <v>#REF!</v>
      </c>
      <c r="L75" s="319">
        <v>40</v>
      </c>
      <c r="M75" s="317" t="e">
        <f>$C75*N75/100</f>
        <v>#REF!</v>
      </c>
      <c r="N75" s="319">
        <v>20</v>
      </c>
      <c r="O75" s="317" t="e">
        <f>$C75*P75/100-0.01</f>
        <v>#REF!</v>
      </c>
      <c r="P75" s="319">
        <v>20</v>
      </c>
      <c r="Q75" s="317" t="e">
        <f>E75+G75+I75+K75+M75+O75</f>
        <v>#REF!</v>
      </c>
      <c r="R75" s="316">
        <f t="shared" si="35"/>
        <v>100</v>
      </c>
      <c r="T75" s="342" t="e">
        <f t="shared" si="3"/>
        <v>#REF!</v>
      </c>
    </row>
    <row r="76" spans="1:20" s="348" customFormat="1" ht="38.25" x14ac:dyDescent="0.2">
      <c r="A76" s="309" t="str">
        <f>Orçam.!A61</f>
        <v>3.3.1</v>
      </c>
      <c r="B76" s="351" t="str">
        <f>Orçam.!D61</f>
        <v>GUIA (MEIO-FIO) E SARJETA CONJUGADOS DE CONCRETO, MOLDADA IN LOCO EM TRECHO RETO COM EXTRUSORA, 45 CM BASE (15 CM BASE DA GUIA + 30 CM BASE DA SARJETA) X 22 CM ALTURA. AF_06/2016</v>
      </c>
      <c r="C76" s="317">
        <f>Orçam.!I61</f>
        <v>391055.82</v>
      </c>
      <c r="D76" s="318" t="e">
        <f>C76/$C$85</f>
        <v>#REF!</v>
      </c>
      <c r="E76" s="317"/>
      <c r="F76" s="319"/>
      <c r="G76" s="317"/>
      <c r="H76" s="316"/>
      <c r="I76" s="317">
        <f>$C76*J76/100</f>
        <v>78211.16</v>
      </c>
      <c r="J76" s="319">
        <v>20</v>
      </c>
      <c r="K76" s="317">
        <f>$C76*L76/100</f>
        <v>156422.32999999999</v>
      </c>
      <c r="L76" s="319">
        <v>40</v>
      </c>
      <c r="M76" s="317">
        <f>$C76*N76/100</f>
        <v>78211.16</v>
      </c>
      <c r="N76" s="319">
        <v>20</v>
      </c>
      <c r="O76" s="317">
        <f>$C76*P76/100-0.01</f>
        <v>78211.149999999994</v>
      </c>
      <c r="P76" s="319">
        <v>20</v>
      </c>
      <c r="Q76" s="317">
        <f>E76+G76+I76+K76+M76+O76</f>
        <v>391055.8</v>
      </c>
      <c r="R76" s="316">
        <f t="shared" si="35"/>
        <v>100</v>
      </c>
      <c r="T76" s="342">
        <f t="shared" si="3"/>
        <v>0.02</v>
      </c>
    </row>
    <row r="77" spans="1:20" s="348" customFormat="1" x14ac:dyDescent="0.2">
      <c r="A77" s="309" t="e">
        <f>Orçam.!#REF!</f>
        <v>#REF!</v>
      </c>
      <c r="B77" s="351" t="e">
        <f>Orçam.!#REF!</f>
        <v>#REF!</v>
      </c>
      <c r="C77" s="317" t="e">
        <f>Orçam.!#REF!</f>
        <v>#REF!</v>
      </c>
      <c r="D77" s="318" t="e">
        <f>C77/$C$85</f>
        <v>#REF!</v>
      </c>
      <c r="E77" s="317"/>
      <c r="F77" s="319"/>
      <c r="G77" s="317"/>
      <c r="H77" s="316"/>
      <c r="I77" s="317" t="e">
        <f>$C77*J77/100</f>
        <v>#REF!</v>
      </c>
      <c r="J77" s="319"/>
      <c r="K77" s="317" t="e">
        <f>$C77*L77/100</f>
        <v>#REF!</v>
      </c>
      <c r="L77" s="319"/>
      <c r="M77" s="317" t="e">
        <f>$C77*N77/100</f>
        <v>#REF!</v>
      </c>
      <c r="N77" s="319">
        <v>50</v>
      </c>
      <c r="O77" s="317" t="e">
        <f>$C77*P77/100-0.01</f>
        <v>#REF!</v>
      </c>
      <c r="P77" s="319">
        <v>50</v>
      </c>
      <c r="Q77" s="317" t="e">
        <f>E77+G77+I77+K77+M77+O77</f>
        <v>#REF!</v>
      </c>
      <c r="R77" s="316">
        <f t="shared" ref="R77" si="38">F77+H77+J77+L77+N77+P77</f>
        <v>100</v>
      </c>
      <c r="T77" s="342" t="e">
        <f t="shared" ref="T77" si="39">C77-Q77</f>
        <v>#REF!</v>
      </c>
    </row>
    <row r="78" spans="1:20" s="348" customFormat="1" x14ac:dyDescent="0.2">
      <c r="A78" s="306" t="str">
        <f>Resumo!A22</f>
        <v>3.4</v>
      </c>
      <c r="B78" s="350" t="str">
        <f>Resumo!B22</f>
        <v>SINALIZAÇÃO VIÁRIA</v>
      </c>
      <c r="C78" s="312"/>
      <c r="D78" s="318"/>
      <c r="E78" s="317"/>
      <c r="F78" s="319"/>
      <c r="G78" s="317"/>
      <c r="H78" s="316"/>
      <c r="I78" s="317"/>
      <c r="J78" s="319"/>
      <c r="K78" s="317"/>
      <c r="L78" s="319"/>
      <c r="M78" s="317"/>
      <c r="N78" s="319"/>
      <c r="O78" s="317"/>
      <c r="P78" s="319"/>
      <c r="Q78" s="317"/>
      <c r="R78" s="316"/>
      <c r="T78" s="342">
        <f t="shared" ref="T78:T83" si="40">C78-Q78</f>
        <v>0</v>
      </c>
    </row>
    <row r="79" spans="1:20" s="348" customFormat="1" x14ac:dyDescent="0.2">
      <c r="A79" s="311" t="str">
        <f>Orçam.!A66</f>
        <v>3.4.1</v>
      </c>
      <c r="B79" s="352" t="str">
        <f>Orçam.!D66</f>
        <v>CONFECÇÃO DE SUPORTE E TRAVESSA PARA PLACA DE SINALIZAÇÃO</v>
      </c>
      <c r="C79" s="317">
        <f>Orçam.!I66</f>
        <v>16761.009999999998</v>
      </c>
      <c r="D79" s="318" t="e">
        <f>C79/$C$85</f>
        <v>#REF!</v>
      </c>
      <c r="E79" s="317"/>
      <c r="F79" s="319"/>
      <c r="G79" s="317"/>
      <c r="H79" s="316"/>
      <c r="I79" s="317"/>
      <c r="J79" s="319"/>
      <c r="K79" s="317">
        <f t="shared" ref="K79:K83" si="41">$C79*L79/100</f>
        <v>3352.2</v>
      </c>
      <c r="L79" s="319">
        <v>20</v>
      </c>
      <c r="M79" s="317">
        <f t="shared" ref="M79:M83" si="42">$C79*N79/100</f>
        <v>6704.4</v>
      </c>
      <c r="N79" s="319">
        <v>40</v>
      </c>
      <c r="O79" s="317">
        <f>$C79*P79/100-0.01</f>
        <v>6704.39</v>
      </c>
      <c r="P79" s="319">
        <v>40</v>
      </c>
      <c r="Q79" s="317">
        <f t="shared" ref="Q79:Q83" si="43">E79+G79+I79+K79+M79+O79+0.01</f>
        <v>16761</v>
      </c>
      <c r="R79" s="316">
        <f t="shared" si="35"/>
        <v>100</v>
      </c>
      <c r="T79" s="342">
        <f t="shared" si="40"/>
        <v>0.01</v>
      </c>
    </row>
    <row r="80" spans="1:20" s="348" customFormat="1" x14ac:dyDescent="0.2">
      <c r="A80" s="311" t="e">
        <f>Orçam.!#REF!</f>
        <v>#REF!</v>
      </c>
      <c r="B80" s="352" t="e">
        <f>Orçam.!#REF!</f>
        <v>#REF!</v>
      </c>
      <c r="C80" s="317" t="e">
        <f>Orçam.!#REF!</f>
        <v>#REF!</v>
      </c>
      <c r="D80" s="318" t="e">
        <f>C80/$C$85</f>
        <v>#REF!</v>
      </c>
      <c r="E80" s="317"/>
      <c r="F80" s="319"/>
      <c r="G80" s="317"/>
      <c r="H80" s="316"/>
      <c r="I80" s="317"/>
      <c r="J80" s="319"/>
      <c r="K80" s="317" t="e">
        <f t="shared" si="41"/>
        <v>#REF!</v>
      </c>
      <c r="L80" s="319">
        <v>20</v>
      </c>
      <c r="M80" s="317" t="e">
        <f t="shared" si="42"/>
        <v>#REF!</v>
      </c>
      <c r="N80" s="319">
        <v>40</v>
      </c>
      <c r="O80" s="317" t="e">
        <f>$C80*P80/100-0.01</f>
        <v>#REF!</v>
      </c>
      <c r="P80" s="319">
        <v>40</v>
      </c>
      <c r="Q80" s="317" t="e">
        <f t="shared" si="43"/>
        <v>#REF!</v>
      </c>
      <c r="R80" s="316">
        <f t="shared" ref="R80:R83" si="44">F80+H80+J80+L80+N80+P80</f>
        <v>100</v>
      </c>
      <c r="T80" s="342" t="e">
        <f t="shared" si="40"/>
        <v>#REF!</v>
      </c>
    </row>
    <row r="81" spans="1:20" s="348" customFormat="1" ht="25.5" x14ac:dyDescent="0.2">
      <c r="A81" s="311" t="str">
        <f>Orçam.!A68</f>
        <v>3.4.3</v>
      </c>
      <c r="B81" s="352" t="str">
        <f>Orçam.!D68</f>
        <v>PLACA ESMALTADA PARA IDENTIFICAÇÃO NR DE RUA, DIMENSÕES 45X25CM</v>
      </c>
      <c r="C81" s="317">
        <f>Orçam.!I68</f>
        <v>10019.1</v>
      </c>
      <c r="D81" s="318" t="e">
        <f>C81/$C$85</f>
        <v>#REF!</v>
      </c>
      <c r="E81" s="317"/>
      <c r="F81" s="319"/>
      <c r="G81" s="317"/>
      <c r="H81" s="316"/>
      <c r="I81" s="317"/>
      <c r="J81" s="319"/>
      <c r="K81" s="317">
        <f t="shared" si="41"/>
        <v>2003.82</v>
      </c>
      <c r="L81" s="319">
        <v>20</v>
      </c>
      <c r="M81" s="317">
        <f t="shared" si="42"/>
        <v>4007.64</v>
      </c>
      <c r="N81" s="319">
        <v>40</v>
      </c>
      <c r="O81" s="317">
        <f t="shared" ref="O81" si="45">$C81*P81/100</f>
        <v>4007.64</v>
      </c>
      <c r="P81" s="319">
        <v>40</v>
      </c>
      <c r="Q81" s="317">
        <f>E81+G81+I81+K81+M81+O81+0.04</f>
        <v>10019.14</v>
      </c>
      <c r="R81" s="316">
        <f t="shared" si="44"/>
        <v>100</v>
      </c>
      <c r="T81" s="342">
        <f t="shared" si="40"/>
        <v>-0.04</v>
      </c>
    </row>
    <row r="82" spans="1:20" s="348" customFormat="1" x14ac:dyDescent="0.2">
      <c r="A82" s="311" t="e">
        <f>Orçam.!#REF!</f>
        <v>#REF!</v>
      </c>
      <c r="B82" s="352" t="e">
        <f>Orçam.!#REF!</f>
        <v>#REF!</v>
      </c>
      <c r="C82" s="317" t="e">
        <f>Orçam.!#REF!</f>
        <v>#REF!</v>
      </c>
      <c r="D82" s="318" t="e">
        <f>C82/$C$85</f>
        <v>#REF!</v>
      </c>
      <c r="E82" s="317"/>
      <c r="F82" s="319"/>
      <c r="G82" s="317"/>
      <c r="H82" s="316"/>
      <c r="I82" s="317"/>
      <c r="J82" s="319"/>
      <c r="K82" s="317" t="e">
        <f t="shared" si="41"/>
        <v>#REF!</v>
      </c>
      <c r="L82" s="319">
        <v>20</v>
      </c>
      <c r="M82" s="317" t="e">
        <f t="shared" si="42"/>
        <v>#REF!</v>
      </c>
      <c r="N82" s="319">
        <v>40</v>
      </c>
      <c r="O82" s="317" t="e">
        <f>$C82*P82/100-0.01</f>
        <v>#REF!</v>
      </c>
      <c r="P82" s="319">
        <v>40</v>
      </c>
      <c r="Q82" s="317" t="e">
        <f t="shared" si="43"/>
        <v>#REF!</v>
      </c>
      <c r="R82" s="316">
        <f t="shared" si="44"/>
        <v>100</v>
      </c>
      <c r="T82" s="342" t="e">
        <f t="shared" si="40"/>
        <v>#REF!</v>
      </c>
    </row>
    <row r="83" spans="1:20" s="348" customFormat="1" x14ac:dyDescent="0.2">
      <c r="A83" s="311" t="str">
        <f>Orçam.!A69</f>
        <v>3.4.4</v>
      </c>
      <c r="B83" s="352" t="str">
        <f>Orçam.!D69</f>
        <v>PINTURA DE FAIXA - TINTA BASE ACRÍLICA - ESPESSURA DE 0,4 MM</v>
      </c>
      <c r="C83" s="317">
        <f>Orçam.!I69</f>
        <v>62456.27</v>
      </c>
      <c r="D83" s="318" t="e">
        <f>C83/$C$85</f>
        <v>#REF!</v>
      </c>
      <c r="E83" s="317"/>
      <c r="F83" s="319"/>
      <c r="G83" s="317"/>
      <c r="H83" s="316"/>
      <c r="I83" s="317"/>
      <c r="J83" s="319"/>
      <c r="K83" s="317">
        <f t="shared" si="41"/>
        <v>12491.25</v>
      </c>
      <c r="L83" s="319">
        <v>20</v>
      </c>
      <c r="M83" s="317">
        <f t="shared" si="42"/>
        <v>24982.51</v>
      </c>
      <c r="N83" s="319">
        <v>40</v>
      </c>
      <c r="O83" s="317">
        <f>$C83*P83/100-0.01</f>
        <v>24982.5</v>
      </c>
      <c r="P83" s="319">
        <v>40</v>
      </c>
      <c r="Q83" s="317">
        <f t="shared" si="43"/>
        <v>62456.27</v>
      </c>
      <c r="R83" s="316">
        <f t="shared" si="44"/>
        <v>100</v>
      </c>
      <c r="T83" s="342">
        <f t="shared" si="40"/>
        <v>0</v>
      </c>
    </row>
    <row r="84" spans="1:20" s="348" customFormat="1" ht="13.5" thickBot="1" x14ac:dyDescent="0.25">
      <c r="A84" s="311"/>
      <c r="B84" s="353"/>
      <c r="C84" s="325"/>
      <c r="D84" s="326"/>
      <c r="E84" s="325"/>
      <c r="F84" s="327"/>
      <c r="G84" s="325"/>
      <c r="H84" s="328"/>
      <c r="I84" s="325"/>
      <c r="J84" s="328"/>
      <c r="K84" s="325"/>
      <c r="L84" s="328"/>
      <c r="M84" s="325"/>
      <c r="N84" s="328"/>
      <c r="O84" s="325"/>
      <c r="P84" s="328"/>
      <c r="Q84" s="325"/>
      <c r="R84" s="328"/>
    </row>
    <row r="85" spans="1:20" s="348" customFormat="1" ht="13.5" thickBot="1" x14ac:dyDescent="0.25">
      <c r="A85" s="1441" t="s">
        <v>17</v>
      </c>
      <c r="B85" s="1442"/>
      <c r="C85" s="329" t="e">
        <f>SUM(C11:C83)</f>
        <v>#REF!</v>
      </c>
      <c r="D85" s="330" t="e">
        <f>SUM(D11:D83)</f>
        <v>#REF!</v>
      </c>
      <c r="E85" s="331" t="e">
        <f>SUM(E11:E83)</f>
        <v>#REF!</v>
      </c>
      <c r="F85" s="332" t="e">
        <f>E85/$C$85</f>
        <v>#REF!</v>
      </c>
      <c r="G85" s="333" t="e">
        <f>SUM(G11:G83)</f>
        <v>#REF!</v>
      </c>
      <c r="H85" s="332" t="e">
        <f>G85/$C$85</f>
        <v>#REF!</v>
      </c>
      <c r="I85" s="334" t="e">
        <f>SUM(I11:I83)</f>
        <v>#REF!</v>
      </c>
      <c r="J85" s="332" t="e">
        <f>I85/$C$85</f>
        <v>#REF!</v>
      </c>
      <c r="K85" s="334" t="e">
        <f>SUM(K11:K83)</f>
        <v>#REF!</v>
      </c>
      <c r="L85" s="332" t="e">
        <f>K85/$C$85</f>
        <v>#REF!</v>
      </c>
      <c r="M85" s="334" t="e">
        <f>SUM(M11:M83)</f>
        <v>#REF!</v>
      </c>
      <c r="N85" s="332" t="e">
        <f>M85/$C$85</f>
        <v>#REF!</v>
      </c>
      <c r="O85" s="334" t="e">
        <f>SUM(O11:O83)</f>
        <v>#REF!</v>
      </c>
      <c r="P85" s="332" t="e">
        <f>O85/$C$85</f>
        <v>#REF!</v>
      </c>
      <c r="Q85" s="334" t="e">
        <f>SUM(Q11:Q83)</f>
        <v>#REF!</v>
      </c>
      <c r="R85" s="335" t="e">
        <f>Q85/$C$85</f>
        <v>#REF!</v>
      </c>
    </row>
    <row r="86" spans="1:20" s="348" customFormat="1" ht="13.5" thickBot="1" x14ac:dyDescent="0.25">
      <c r="A86" s="1443" t="s">
        <v>18</v>
      </c>
      <c r="B86" s="1444"/>
      <c r="C86" s="336"/>
      <c r="D86" s="337"/>
      <c r="E86" s="331" t="e">
        <f>SUM(E85)</f>
        <v>#REF!</v>
      </c>
      <c r="F86" s="338" t="e">
        <f>E86/C85</f>
        <v>#REF!</v>
      </c>
      <c r="G86" s="339" t="e">
        <f t="shared" ref="G86:L86" si="46">E86+G85</f>
        <v>#REF!</v>
      </c>
      <c r="H86" s="338" t="e">
        <f t="shared" si="46"/>
        <v>#REF!</v>
      </c>
      <c r="I86" s="339" t="e">
        <f t="shared" si="46"/>
        <v>#REF!</v>
      </c>
      <c r="J86" s="338" t="e">
        <f t="shared" si="46"/>
        <v>#REF!</v>
      </c>
      <c r="K86" s="339" t="e">
        <f t="shared" si="46"/>
        <v>#REF!</v>
      </c>
      <c r="L86" s="338" t="e">
        <f t="shared" si="46"/>
        <v>#REF!</v>
      </c>
      <c r="M86" s="339" t="e">
        <f t="shared" ref="M86" si="47">K86+M85</f>
        <v>#REF!</v>
      </c>
      <c r="N86" s="338" t="e">
        <f t="shared" ref="N86" si="48">L86+N85</f>
        <v>#REF!</v>
      </c>
      <c r="O86" s="339" t="e">
        <f t="shared" ref="O86" si="49">M86+O85</f>
        <v>#REF!</v>
      </c>
      <c r="P86" s="338" t="e">
        <f>N86+P85</f>
        <v>#REF!</v>
      </c>
      <c r="Q86" s="339"/>
      <c r="R86" s="340"/>
    </row>
    <row r="87" spans="1:20" s="348" customFormat="1" ht="13.5" thickBot="1" x14ac:dyDescent="0.25">
      <c r="A87" s="1435"/>
      <c r="B87" s="1436"/>
      <c r="C87" s="1436"/>
      <c r="D87" s="1436"/>
      <c r="E87" s="1436"/>
      <c r="F87" s="1436"/>
      <c r="G87" s="1436"/>
      <c r="H87" s="1436"/>
      <c r="I87" s="1436"/>
      <c r="J87" s="1436"/>
      <c r="K87" s="1436"/>
      <c r="L87" s="1436"/>
      <c r="M87" s="1436"/>
      <c r="N87" s="1436"/>
      <c r="O87" s="1436"/>
      <c r="P87" s="1436"/>
      <c r="Q87" s="1436"/>
      <c r="R87" s="1437"/>
    </row>
    <row r="89" spans="1:20" x14ac:dyDescent="0.2">
      <c r="B89" s="295" t="s">
        <v>174</v>
      </c>
    </row>
    <row r="90" spans="1:20" x14ac:dyDescent="0.2">
      <c r="B90" s="297" t="s">
        <v>243</v>
      </c>
    </row>
    <row r="91" spans="1:20" x14ac:dyDescent="0.2">
      <c r="C91" s="354"/>
    </row>
  </sheetData>
  <mergeCells count="24">
    <mergeCell ref="A87:R87"/>
    <mergeCell ref="Q9:R9"/>
    <mergeCell ref="A7:R7"/>
    <mergeCell ref="A85:B85"/>
    <mergeCell ref="M9:N9"/>
    <mergeCell ref="O9:P9"/>
    <mergeCell ref="A86:B86"/>
    <mergeCell ref="A8:A10"/>
    <mergeCell ref="B8:B10"/>
    <mergeCell ref="C8:D9"/>
    <mergeCell ref="E8:R8"/>
    <mergeCell ref="E9:F9"/>
    <mergeCell ref="G9:H9"/>
    <mergeCell ref="I9:J9"/>
    <mergeCell ref="K9:L9"/>
    <mergeCell ref="A1:R1"/>
    <mergeCell ref="A2:R2"/>
    <mergeCell ref="B3:O3"/>
    <mergeCell ref="B4:O4"/>
    <mergeCell ref="N6:O6"/>
    <mergeCell ref="M5:O5"/>
    <mergeCell ref="B5:K5"/>
    <mergeCell ref="B6:K6"/>
    <mergeCell ref="P3:R6"/>
  </mergeCells>
  <phoneticPr fontId="0" type="noConversion"/>
  <printOptions horizontalCentered="1"/>
  <pageMargins left="0.39370078740157483" right="0.39370078740157483" top="0.98425196850393704" bottom="0.39370078740157483" header="0.31496062992125984" footer="0.31496062992125984"/>
  <pageSetup paperSize="9" scale="54" fitToHeight="0" orientation="landscape" r:id="rId1"/>
  <headerFooter alignWithMargins="0"/>
  <rowBreaks count="1" manualBreakCount="1">
    <brk id="73" max="1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pageSetUpPr fitToPage="1"/>
  </sheetPr>
  <dimension ref="A1:L31"/>
  <sheetViews>
    <sheetView view="pageBreakPreview" zoomScale="70" zoomScaleSheetLayoutView="70" workbookViewId="0">
      <selection activeCell="A7" sqref="A7:G7"/>
    </sheetView>
  </sheetViews>
  <sheetFormatPr defaultRowHeight="12.75" x14ac:dyDescent="0.2"/>
  <cols>
    <col min="1" max="1" width="12.42578125" customWidth="1"/>
    <col min="2" max="2" width="36.28515625" customWidth="1"/>
    <col min="3" max="3" width="50" customWidth="1"/>
    <col min="4" max="4" width="20.140625" style="91" customWidth="1"/>
    <col min="5" max="5" width="22.5703125" customWidth="1"/>
    <col min="6" max="6" width="10.28515625" style="91" bestFit="1" customWidth="1"/>
    <col min="7" max="7" width="10.7109375" customWidth="1"/>
    <col min="10" max="10" width="16.42578125" bestFit="1" customWidth="1"/>
  </cols>
  <sheetData>
    <row r="1" spans="1:12" s="417" customFormat="1" ht="15.75" x14ac:dyDescent="0.2">
      <c r="A1" s="1348" t="str">
        <f>Terrap.!A1</f>
        <v>ESTADO DE MATO GROSSO</v>
      </c>
      <c r="B1" s="1349"/>
      <c r="C1" s="1349"/>
      <c r="D1" s="1349"/>
      <c r="E1" s="1349"/>
      <c r="F1" s="1349"/>
      <c r="G1" s="1350"/>
    </row>
    <row r="2" spans="1:12" s="417" customFormat="1" ht="15.75" x14ac:dyDescent="0.2">
      <c r="A2" s="1351" t="str">
        <f>Terrap.!A2</f>
        <v xml:space="preserve">PREFEITURA MUNICIPAL DE BARRA DO BUGRES </v>
      </c>
      <c r="B2" s="1352"/>
      <c r="C2" s="1352"/>
      <c r="D2" s="1352"/>
      <c r="E2" s="1352"/>
      <c r="F2" s="1352"/>
      <c r="G2" s="1353"/>
    </row>
    <row r="3" spans="1:12" s="90" customFormat="1" ht="24" customHeight="1" x14ac:dyDescent="0.2">
      <c r="A3" s="412" t="str">
        <f>Terrap.!A3</f>
        <v>OBRA:</v>
      </c>
      <c r="B3" s="410" t="str">
        <f>Terrap.!B3</f>
        <v xml:space="preserve">PAVIMENTAÇÃO ASFALTICA E DRENAGEM DE AGUAS PLUVIAIS </v>
      </c>
      <c r="C3" s="410"/>
      <c r="D3" s="463" t="s">
        <v>362</v>
      </c>
      <c r="E3" s="1379" t="str">
        <f>Terrap.!H6</f>
        <v>TABELA:</v>
      </c>
      <c r="F3" s="1379"/>
      <c r="G3" s="258" t="str">
        <f>Terrap.!E6</f>
        <v>BDI:</v>
      </c>
    </row>
    <row r="4" spans="1:12" s="90" customFormat="1" ht="24" customHeight="1" x14ac:dyDescent="0.2">
      <c r="A4" s="412" t="str">
        <f>Terrap.!A4</f>
        <v>LOCAL:</v>
      </c>
      <c r="B4" s="410" t="str">
        <f>Terrap.!B4</f>
        <v>DIVERSAS RUAS - PERIMETRO URBANO</v>
      </c>
      <c r="C4" s="410"/>
      <c r="D4" s="1294" t="str">
        <f>Terrap.!F5</f>
        <v>AGOSTO 2020</v>
      </c>
      <c r="E4" s="1057" t="str">
        <f>Terrap.!I3</f>
        <v>SINAPI - JULHO / 2020    DESONERADO                                                                                                                           SICRO 10/2019</v>
      </c>
      <c r="F4" s="1057"/>
      <c r="G4" s="1292">
        <f>Terrap.!F6</f>
        <v>0.25640000000000002</v>
      </c>
    </row>
    <row r="5" spans="1:12" s="90" customFormat="1" ht="24" customHeight="1" x14ac:dyDescent="0.2">
      <c r="A5" s="412" t="str">
        <f>Terrap.!A5</f>
        <v>PROPR.:</v>
      </c>
      <c r="B5" s="410" t="str">
        <f>Terrap.!B5</f>
        <v xml:space="preserve">PREFEITURA MUNICIPAL DE BARRA DO BUGRES </v>
      </c>
      <c r="C5" s="410"/>
      <c r="D5" s="1356"/>
      <c r="E5" s="1057"/>
      <c r="F5" s="1057"/>
      <c r="G5" s="1292"/>
    </row>
    <row r="6" spans="1:12" s="90" customFormat="1" ht="24" customHeight="1" thickBot="1" x14ac:dyDescent="0.25">
      <c r="A6" s="414" t="str">
        <f>Terrap.!A6</f>
        <v>ÁREA (m²):</v>
      </c>
      <c r="B6" s="1357">
        <f>Terrap.!B6</f>
        <v>31131.72</v>
      </c>
      <c r="C6" s="1357"/>
      <c r="D6" s="1295"/>
      <c r="E6" s="1059"/>
      <c r="F6" s="1059"/>
      <c r="G6" s="1293"/>
    </row>
    <row r="7" spans="1:12" s="91" customFormat="1" ht="26.25" customHeight="1" thickBot="1" x14ac:dyDescent="0.25">
      <c r="A7" s="1287" t="s">
        <v>157</v>
      </c>
      <c r="B7" s="1288"/>
      <c r="C7" s="1288"/>
      <c r="D7" s="1288"/>
      <c r="E7" s="1288"/>
      <c r="F7" s="1378"/>
      <c r="G7" s="1289"/>
    </row>
    <row r="8" spans="1:12" s="41" customFormat="1" ht="15.75" thickBot="1" x14ac:dyDescent="0.3">
      <c r="B8" s="29"/>
      <c r="C8" s="29"/>
      <c r="D8" s="29"/>
      <c r="E8" s="29"/>
      <c r="F8" s="29"/>
      <c r="H8" s="29"/>
      <c r="I8" s="29"/>
      <c r="J8" s="29"/>
      <c r="K8" s="29"/>
      <c r="L8" s="29"/>
    </row>
    <row r="9" spans="1:12" s="41" customFormat="1" ht="19.5" customHeight="1" x14ac:dyDescent="0.25">
      <c r="B9" s="1460" t="s">
        <v>158</v>
      </c>
      <c r="C9" s="1461"/>
      <c r="D9" s="1461"/>
      <c r="E9" s="1461"/>
      <c r="F9" s="303" t="s">
        <v>15</v>
      </c>
      <c r="H9" s="29"/>
      <c r="I9" s="29"/>
      <c r="J9" s="29"/>
      <c r="K9" s="29"/>
      <c r="L9" s="29"/>
    </row>
    <row r="10" spans="1:12" s="41" customFormat="1" ht="19.5" customHeight="1" x14ac:dyDescent="0.25">
      <c r="B10" s="1458" t="s">
        <v>161</v>
      </c>
      <c r="C10" s="1459"/>
      <c r="D10" s="1459"/>
      <c r="E10" s="1459"/>
      <c r="F10" s="304">
        <v>4</v>
      </c>
      <c r="H10" s="29"/>
      <c r="I10" s="29"/>
      <c r="J10" s="29"/>
      <c r="K10" s="29"/>
      <c r="L10" s="29"/>
    </row>
    <row r="11" spans="1:12" s="41" customFormat="1" ht="19.5" customHeight="1" x14ac:dyDescent="0.25">
      <c r="B11" s="1458" t="s">
        <v>489</v>
      </c>
      <c r="C11" s="1459"/>
      <c r="D11" s="1459"/>
      <c r="E11" s="1459"/>
      <c r="F11" s="304">
        <v>0</v>
      </c>
      <c r="H11" s="29"/>
      <c r="I11" s="29"/>
      <c r="J11" s="29"/>
      <c r="K11" s="29"/>
      <c r="L11" s="29"/>
    </row>
    <row r="12" spans="1:12" s="41" customFormat="1" ht="19.5" customHeight="1" x14ac:dyDescent="0.25">
      <c r="B12" s="1458" t="s">
        <v>159</v>
      </c>
      <c r="C12" s="1459"/>
      <c r="D12" s="1459"/>
      <c r="E12" s="1459"/>
      <c r="F12" s="304">
        <v>0</v>
      </c>
      <c r="H12" s="29"/>
      <c r="I12" s="29"/>
      <c r="J12" s="29"/>
      <c r="K12" s="35"/>
      <c r="L12" s="29"/>
    </row>
    <row r="13" spans="1:12" s="41" customFormat="1" ht="19.5" customHeight="1" x14ac:dyDescent="0.25">
      <c r="B13" s="1458" t="s">
        <v>160</v>
      </c>
      <c r="C13" s="1459"/>
      <c r="D13" s="1459"/>
      <c r="E13" s="1459"/>
      <c r="F13" s="304">
        <f>(1.11+1.21)/2</f>
        <v>1.1599999999999999</v>
      </c>
      <c r="H13" s="29"/>
      <c r="I13" s="29"/>
      <c r="J13" s="29"/>
      <c r="K13" s="35"/>
      <c r="L13" s="29"/>
    </row>
    <row r="14" spans="1:12" s="41" customFormat="1" ht="19.5" customHeight="1" x14ac:dyDescent="0.25">
      <c r="B14" s="1458" t="s">
        <v>162</v>
      </c>
      <c r="C14" s="1459"/>
      <c r="D14" s="1459"/>
      <c r="E14" s="1459"/>
      <c r="F14" s="304">
        <v>7.3</v>
      </c>
      <c r="H14" s="29"/>
      <c r="I14" s="29"/>
      <c r="J14" s="29"/>
      <c r="K14" s="35"/>
      <c r="L14" s="29"/>
    </row>
    <row r="15" spans="1:12" s="41" customFormat="1" ht="19.5" customHeight="1" x14ac:dyDescent="0.25">
      <c r="B15" s="1458" t="s">
        <v>369</v>
      </c>
      <c r="C15" s="1459"/>
      <c r="D15" s="1459"/>
      <c r="E15" s="1459"/>
      <c r="F15" s="304">
        <f>2+0.65+3+4.5</f>
        <v>10.15</v>
      </c>
      <c r="H15" s="29"/>
      <c r="I15" s="29"/>
      <c r="J15" s="953"/>
      <c r="K15" s="35"/>
      <c r="L15" s="29"/>
    </row>
    <row r="16" spans="1:12" s="41" customFormat="1" ht="19.5" customHeight="1" x14ac:dyDescent="0.25">
      <c r="B16" s="1458"/>
      <c r="C16" s="1459"/>
      <c r="D16" s="1459"/>
      <c r="E16" s="1459"/>
      <c r="F16" s="304"/>
      <c r="H16" s="29"/>
      <c r="I16" s="30"/>
      <c r="J16" s="29"/>
      <c r="K16" s="35"/>
      <c r="L16" s="29"/>
    </row>
    <row r="17" spans="2:7" s="41" customFormat="1" ht="19.5" customHeight="1" thickBot="1" x14ac:dyDescent="0.3">
      <c r="B17" s="1456" t="s">
        <v>13</v>
      </c>
      <c r="C17" s="1457"/>
      <c r="D17" s="1457"/>
      <c r="E17" s="1457"/>
      <c r="F17" s="305">
        <f>(((1+F10/100+F11/100+F12/100)*(1+F13/100)*(1+F14/100))/(1-F15/100))-1</f>
        <v>0.25640000000000002</v>
      </c>
    </row>
    <row r="18" spans="2:7" s="41" customFormat="1" ht="14.25" x14ac:dyDescent="0.2">
      <c r="B18" s="90"/>
      <c r="C18" s="90"/>
      <c r="D18" s="90"/>
      <c r="E18" s="90"/>
      <c r="F18" s="90"/>
      <c r="G18" s="90"/>
    </row>
    <row r="19" spans="2:7" s="41" customFormat="1" ht="14.25" x14ac:dyDescent="0.2">
      <c r="B19" s="90" t="s">
        <v>274</v>
      </c>
      <c r="C19" s="90"/>
      <c r="D19" s="90"/>
      <c r="E19" s="90"/>
      <c r="F19" s="90"/>
      <c r="G19" s="90"/>
    </row>
    <row r="20" spans="2:7" s="41" customFormat="1" ht="15" x14ac:dyDescent="0.25">
      <c r="B20" s="90" t="s">
        <v>335</v>
      </c>
      <c r="C20" s="16"/>
      <c r="D20" s="16"/>
      <c r="E20" s="16"/>
      <c r="F20" s="16"/>
      <c r="G20" s="42"/>
    </row>
    <row r="21" spans="2:7" s="41" customFormat="1" ht="15" x14ac:dyDescent="0.25">
      <c r="B21" s="43"/>
      <c r="C21" s="16"/>
      <c r="D21" s="16"/>
      <c r="E21" s="16"/>
      <c r="F21" s="16"/>
      <c r="G21" s="42"/>
    </row>
    <row r="22" spans="2:7" s="41" customFormat="1" ht="15" x14ac:dyDescent="0.25">
      <c r="B22" s="43"/>
      <c r="C22" s="16"/>
      <c r="D22" s="16"/>
      <c r="E22" s="16"/>
      <c r="F22" s="16"/>
      <c r="G22" s="42"/>
    </row>
    <row r="23" spans="2:7" s="41" customFormat="1" ht="15" x14ac:dyDescent="0.25">
      <c r="B23" s="43"/>
      <c r="C23" s="16"/>
      <c r="D23" s="16"/>
      <c r="E23" s="16"/>
      <c r="F23" s="16"/>
      <c r="G23" s="42"/>
    </row>
    <row r="24" spans="2:7" s="41" customFormat="1" ht="15" x14ac:dyDescent="0.25">
      <c r="B24" s="16"/>
      <c r="C24" s="16"/>
      <c r="D24" s="16"/>
      <c r="E24" s="16"/>
      <c r="F24" s="16"/>
      <c r="G24" s="42"/>
    </row>
    <row r="25" spans="2:7" s="41" customFormat="1" ht="15" x14ac:dyDescent="0.25">
      <c r="B25" s="16"/>
      <c r="C25" s="16"/>
      <c r="D25" s="16"/>
      <c r="E25" s="16"/>
      <c r="F25" s="16"/>
      <c r="G25" s="42"/>
    </row>
    <row r="26" spans="2:7" s="41" customFormat="1" ht="15" x14ac:dyDescent="0.25">
      <c r="B26" s="16"/>
      <c r="C26" s="16"/>
      <c r="D26" s="16"/>
      <c r="E26" s="16"/>
      <c r="F26" s="16"/>
      <c r="G26" s="42"/>
    </row>
    <row r="27" spans="2:7" s="41" customFormat="1" ht="15" x14ac:dyDescent="0.25">
      <c r="B27" s="16"/>
      <c r="C27" s="16"/>
      <c r="D27" s="16"/>
      <c r="E27" s="16"/>
      <c r="F27" s="16"/>
      <c r="G27" s="42"/>
    </row>
    <row r="28" spans="2:7" s="41" customFormat="1" ht="15" x14ac:dyDescent="0.25">
      <c r="B28" s="16"/>
      <c r="C28" s="16"/>
      <c r="D28" s="16"/>
      <c r="E28" s="16"/>
      <c r="F28" s="16"/>
      <c r="G28" s="42"/>
    </row>
    <row r="29" spans="2:7" s="41" customFormat="1" ht="15.75" x14ac:dyDescent="0.25">
      <c r="B29" s="906" t="str">
        <f>Terrap.!B26</f>
        <v>Robson Darcio Sousa</v>
      </c>
      <c r="D29" s="91"/>
      <c r="F29" s="28"/>
    </row>
    <row r="30" spans="2:7" s="41" customFormat="1" x14ac:dyDescent="0.2">
      <c r="B30" s="907" t="str">
        <f>Terrap.!B27</f>
        <v>ENGº CIVIL</v>
      </c>
      <c r="D30" s="91"/>
      <c r="F30" s="31"/>
    </row>
    <row r="31" spans="2:7" x14ac:dyDescent="0.2">
      <c r="B31" s="907" t="str">
        <f>Terrap.!B28</f>
        <v>Crea: 120.263.916-0</v>
      </c>
      <c r="C31" s="40"/>
      <c r="E31" s="40"/>
      <c r="G31" s="40"/>
    </row>
  </sheetData>
  <mergeCells count="17">
    <mergeCell ref="E3:F3"/>
    <mergeCell ref="D4:D6"/>
    <mergeCell ref="B6:C6"/>
    <mergeCell ref="A1:G1"/>
    <mergeCell ref="A2:G2"/>
    <mergeCell ref="B10:E10"/>
    <mergeCell ref="B9:E9"/>
    <mergeCell ref="G4:G6"/>
    <mergeCell ref="A7:G7"/>
    <mergeCell ref="E4:F6"/>
    <mergeCell ref="B17:E17"/>
    <mergeCell ref="B16:E16"/>
    <mergeCell ref="B11:E11"/>
    <mergeCell ref="B12:E12"/>
    <mergeCell ref="B13:E13"/>
    <mergeCell ref="B14:E14"/>
    <mergeCell ref="B15:E15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rgb="FFFFFF00"/>
    <pageSetUpPr fitToPage="1"/>
  </sheetPr>
  <dimension ref="A1:L35"/>
  <sheetViews>
    <sheetView view="pageBreakPreview" topLeftCell="A10" zoomScale="80" zoomScaleSheetLayoutView="80" workbookViewId="0">
      <selection activeCell="K33" sqref="K33"/>
    </sheetView>
  </sheetViews>
  <sheetFormatPr defaultColWidth="9.140625" defaultRowHeight="12.75" x14ac:dyDescent="0.2"/>
  <cols>
    <col min="1" max="1" width="11.28515625" style="108" customWidth="1"/>
    <col min="2" max="2" width="49.42578125" style="108" customWidth="1"/>
    <col min="3" max="3" width="36.7109375" style="108" customWidth="1"/>
    <col min="4" max="4" width="14.28515625" style="108" customWidth="1"/>
    <col min="5" max="5" width="13.140625" style="108" bestFit="1" customWidth="1"/>
    <col min="6" max="6" width="13.5703125" style="108" customWidth="1"/>
    <col min="7" max="7" width="13.140625" style="108" customWidth="1"/>
    <col min="8" max="8" width="17.42578125" style="108" customWidth="1"/>
    <col min="9" max="9" width="14.7109375" style="108" bestFit="1" customWidth="1"/>
    <col min="10" max="10" width="11.85546875" style="108" bestFit="1" customWidth="1"/>
    <col min="11" max="11" width="15.7109375" style="108" customWidth="1"/>
    <col min="12" max="12" width="12.28515625" style="108" customWidth="1"/>
    <col min="13" max="16384" width="9.140625" style="108"/>
  </cols>
  <sheetData>
    <row r="1" spans="1:12" ht="15.75" x14ac:dyDescent="0.2">
      <c r="A1" s="1348" t="str">
        <f>Terrap.!A1</f>
        <v>ESTADO DE MATO GROSSO</v>
      </c>
      <c r="B1" s="1349"/>
      <c r="C1" s="1349"/>
      <c r="D1" s="1349"/>
      <c r="E1" s="1349"/>
      <c r="F1" s="1349"/>
      <c r="G1" s="1350"/>
    </row>
    <row r="2" spans="1:12" ht="15.75" x14ac:dyDescent="0.2">
      <c r="A2" s="1351" t="str">
        <f>Terrap.!A2</f>
        <v xml:space="preserve">PREFEITURA MUNICIPAL DE BARRA DO BUGRES </v>
      </c>
      <c r="B2" s="1352"/>
      <c r="C2" s="1352"/>
      <c r="D2" s="1352"/>
      <c r="E2" s="1352"/>
      <c r="F2" s="1352"/>
      <c r="G2" s="1353"/>
    </row>
    <row r="3" spans="1:12" ht="21.75" customHeight="1" x14ac:dyDescent="0.2">
      <c r="A3" s="412" t="str">
        <f>Terrap.!A3</f>
        <v>OBRA:</v>
      </c>
      <c r="B3" s="1366" t="str">
        <f>Terrap.!B3</f>
        <v xml:space="preserve">PAVIMENTAÇÃO ASFALTICA E DRENAGEM DE AGUAS PLUVIAIS </v>
      </c>
      <c r="C3" s="1368"/>
      <c r="D3" s="463" t="s">
        <v>362</v>
      </c>
      <c r="E3" s="1379" t="str">
        <f>Terrap.!H6</f>
        <v>TABELA:</v>
      </c>
      <c r="F3" s="1379"/>
      <c r="G3" s="258" t="str">
        <f>Terrap.!E6</f>
        <v>BDI:</v>
      </c>
    </row>
    <row r="4" spans="1:12" ht="21.75" customHeight="1" x14ac:dyDescent="0.2">
      <c r="A4" s="412" t="str">
        <f>Terrap.!A4</f>
        <v>LOCAL:</v>
      </c>
      <c r="B4" s="1366" t="str">
        <f>Terrap.!B4</f>
        <v>DIVERSAS RUAS - PERIMETRO URBANO</v>
      </c>
      <c r="C4" s="1368"/>
      <c r="D4" s="1294" t="str">
        <f>Terrap.!F5</f>
        <v>AGOSTO 2020</v>
      </c>
      <c r="E4" s="1057" t="str">
        <f>Terrap.!I3</f>
        <v>SINAPI - JULHO / 2020    DESONERADO                                                                                                                           SICRO 10/2019</v>
      </c>
      <c r="F4" s="1057"/>
      <c r="G4" s="1292">
        <f>Terrap.!F6</f>
        <v>0.25640000000000002</v>
      </c>
    </row>
    <row r="5" spans="1:12" ht="21.75" customHeight="1" x14ac:dyDescent="0.2">
      <c r="A5" s="412" t="str">
        <f>Terrap.!A5</f>
        <v>PROPR.:</v>
      </c>
      <c r="B5" s="1366" t="str">
        <f>Terrap.!B5</f>
        <v xml:space="preserve">PREFEITURA MUNICIPAL DE BARRA DO BUGRES </v>
      </c>
      <c r="C5" s="1368"/>
      <c r="D5" s="1356"/>
      <c r="E5" s="1057"/>
      <c r="F5" s="1057"/>
      <c r="G5" s="1292"/>
    </row>
    <row r="6" spans="1:12" ht="21.75" customHeight="1" thickBot="1" x14ac:dyDescent="0.25">
      <c r="A6" s="414" t="str">
        <f>Terrap.!A6</f>
        <v>ÁREA (m²):</v>
      </c>
      <c r="B6" s="1357">
        <f>Terrap.!C24</f>
        <v>35544.5</v>
      </c>
      <c r="C6" s="1357"/>
      <c r="D6" s="1295"/>
      <c r="E6" s="1059"/>
      <c r="F6" s="1059"/>
      <c r="G6" s="1293"/>
    </row>
    <row r="7" spans="1:12" ht="38.25" customHeight="1" thickBot="1" x14ac:dyDescent="0.25">
      <c r="A7" s="1287" t="s">
        <v>155</v>
      </c>
      <c r="B7" s="1288"/>
      <c r="C7" s="1288"/>
      <c r="D7" s="1288"/>
      <c r="E7" s="1288"/>
      <c r="F7" s="1378"/>
      <c r="G7" s="1289"/>
    </row>
    <row r="8" spans="1:12" ht="24" customHeight="1" x14ac:dyDescent="0.2">
      <c r="A8" s="1466" t="s">
        <v>0</v>
      </c>
      <c r="B8" s="1464" t="s">
        <v>268</v>
      </c>
      <c r="C8" s="1464"/>
      <c r="D8" s="1464" t="s">
        <v>385</v>
      </c>
      <c r="E8" s="1464"/>
      <c r="F8" s="1464"/>
      <c r="G8" s="1468"/>
      <c r="H8" s="27"/>
    </row>
    <row r="9" spans="1:12" ht="15" x14ac:dyDescent="0.2">
      <c r="A9" s="1467"/>
      <c r="B9" s="1465"/>
      <c r="C9" s="1465"/>
      <c r="D9" s="634" t="s">
        <v>386</v>
      </c>
      <c r="E9" s="634" t="s">
        <v>387</v>
      </c>
      <c r="F9" s="634" t="s">
        <v>13</v>
      </c>
      <c r="G9" s="635" t="s">
        <v>388</v>
      </c>
      <c r="H9" s="27"/>
      <c r="I9" s="384" t="s">
        <v>582</v>
      </c>
      <c r="J9" s="254" t="e">
        <f>F27</f>
        <v>#REF!</v>
      </c>
      <c r="L9" s="910" t="e">
        <f>J9/J11</f>
        <v>#REF!</v>
      </c>
    </row>
    <row r="10" spans="1:12" ht="23.25" customHeight="1" x14ac:dyDescent="0.2">
      <c r="A10" s="636">
        <f>Resumo!A10</f>
        <v>1</v>
      </c>
      <c r="B10" s="1462" t="str">
        <f>Resumo!B10</f>
        <v>SERVIÇOS PRELIMINARES</v>
      </c>
      <c r="C10" s="1462"/>
      <c r="D10" s="419" t="e">
        <f>F10-E10</f>
        <v>#REF!</v>
      </c>
      <c r="E10" s="419" t="e">
        <f>$L$11*F10+1.59</f>
        <v>#REF!</v>
      </c>
      <c r="F10" s="444">
        <f>Resumo!E10</f>
        <v>86773.52</v>
      </c>
      <c r="G10" s="637"/>
      <c r="H10" s="27"/>
      <c r="I10" s="384" t="s">
        <v>583</v>
      </c>
      <c r="J10" s="254">
        <v>668500</v>
      </c>
      <c r="L10" s="915" t="e">
        <f>J10/J9</f>
        <v>#REF!</v>
      </c>
    </row>
    <row r="11" spans="1:12" ht="23.25" customHeight="1" x14ac:dyDescent="0.2">
      <c r="A11" s="380"/>
      <c r="B11" s="1462"/>
      <c r="C11" s="1462"/>
      <c r="D11" s="419"/>
      <c r="E11" s="419"/>
      <c r="F11" s="444"/>
      <c r="G11" s="638"/>
      <c r="H11" s="27"/>
      <c r="I11" s="384" t="s">
        <v>584</v>
      </c>
      <c r="J11" s="254" t="e">
        <f>J9-J10</f>
        <v>#REF!</v>
      </c>
      <c r="L11" s="915" t="e">
        <f>J11/J9</f>
        <v>#REF!</v>
      </c>
    </row>
    <row r="12" spans="1:12" ht="23.25" customHeight="1" x14ac:dyDescent="0.2">
      <c r="A12" s="636" t="e">
        <f>Resumo!#REF!</f>
        <v>#REF!</v>
      </c>
      <c r="B12" s="1462" t="e">
        <f>Resumo!#REF!</f>
        <v>#REF!</v>
      </c>
      <c r="C12" s="1462"/>
      <c r="D12" s="419" t="e">
        <f>F12-E12</f>
        <v>#REF!</v>
      </c>
      <c r="E12" s="419" t="e">
        <f>$L$11*F12</f>
        <v>#REF!</v>
      </c>
      <c r="F12" s="444" t="e">
        <f>Resumo!#REF!</f>
        <v>#REF!</v>
      </c>
      <c r="G12" s="638"/>
      <c r="H12" s="27"/>
      <c r="I12" s="342"/>
      <c r="J12" s="254" t="e">
        <f>SUM(J10:J11)</f>
        <v>#REF!</v>
      </c>
      <c r="K12" s="639"/>
    </row>
    <row r="13" spans="1:12" ht="23.25" customHeight="1" x14ac:dyDescent="0.2">
      <c r="A13" s="380"/>
      <c r="B13" s="1462"/>
      <c r="C13" s="1462"/>
      <c r="D13" s="419"/>
      <c r="E13" s="419"/>
      <c r="F13" s="444"/>
      <c r="G13" s="638"/>
      <c r="H13" s="27"/>
      <c r="I13" s="342"/>
      <c r="J13" s="254"/>
      <c r="K13" s="639"/>
    </row>
    <row r="14" spans="1:12" ht="23.25" hidden="1" customHeight="1" x14ac:dyDescent="0.2">
      <c r="A14" s="636">
        <f>Resumo!A12</f>
        <v>2</v>
      </c>
      <c r="B14" s="1462" t="str">
        <f>Resumo!B12</f>
        <v>DRENAGEM DE ÁGUAS PLUVIAIS</v>
      </c>
      <c r="C14" s="1462"/>
      <c r="D14" s="419"/>
      <c r="E14" s="419"/>
      <c r="F14" s="444"/>
      <c r="G14" s="638"/>
      <c r="H14" s="27"/>
      <c r="I14" s="342"/>
      <c r="K14" s="639"/>
    </row>
    <row r="15" spans="1:12" ht="23.25" hidden="1" customHeight="1" x14ac:dyDescent="0.2">
      <c r="A15" s="380" t="str">
        <f>Resumo!A13</f>
        <v>2.1</v>
      </c>
      <c r="B15" s="1463" t="str">
        <f>Resumo!B13</f>
        <v>MOVIMENTO DE TERRA</v>
      </c>
      <c r="C15" s="1463"/>
      <c r="D15" s="419" t="e">
        <f>F15-E15</f>
        <v>#REF!</v>
      </c>
      <c r="E15" s="419" t="e">
        <f>$L$11*F15</f>
        <v>#REF!</v>
      </c>
      <c r="F15" s="444">
        <f>Resumo!E13</f>
        <v>20112.72</v>
      </c>
      <c r="G15" s="638"/>
      <c r="H15" s="27"/>
      <c r="I15" s="342"/>
      <c r="K15" s="639"/>
    </row>
    <row r="16" spans="1:12" ht="23.25" hidden="1" customHeight="1" x14ac:dyDescent="0.2">
      <c r="A16" s="380" t="str">
        <f>Resumo!A14</f>
        <v>2.2</v>
      </c>
      <c r="B16" s="1463" t="str">
        <f>Resumo!B14</f>
        <v>FORNECIMENTO E ASSENTAMENTO DE TUBOS</v>
      </c>
      <c r="C16" s="1463"/>
      <c r="D16" s="419" t="e">
        <f>F16-E16</f>
        <v>#REF!</v>
      </c>
      <c r="E16" s="419" t="e">
        <f>$L$11*F16</f>
        <v>#REF!</v>
      </c>
      <c r="F16" s="444">
        <f>Resumo!E14</f>
        <v>72157.820000000007</v>
      </c>
      <c r="G16" s="638"/>
      <c r="H16" s="27"/>
      <c r="I16" s="342"/>
      <c r="K16" s="639"/>
    </row>
    <row r="17" spans="1:11" ht="23.25" hidden="1" customHeight="1" x14ac:dyDescent="0.2">
      <c r="A17" s="380" t="str">
        <f>Resumo!A15</f>
        <v>2.3</v>
      </c>
      <c r="B17" s="1463" t="str">
        <f>Resumo!B15</f>
        <v>ELEMENTOS AUXILIARES</v>
      </c>
      <c r="C17" s="1463"/>
      <c r="D17" s="419" t="e">
        <f>F17-E17</f>
        <v>#REF!</v>
      </c>
      <c r="E17" s="419" t="e">
        <f>$L$11*F17</f>
        <v>#REF!</v>
      </c>
      <c r="F17" s="444">
        <f>Resumo!E15</f>
        <v>20433.46</v>
      </c>
      <c r="G17" s="638"/>
      <c r="H17" s="27"/>
      <c r="I17" s="342"/>
      <c r="K17" s="639"/>
    </row>
    <row r="18" spans="1:11" ht="23.25" hidden="1" customHeight="1" x14ac:dyDescent="0.2">
      <c r="A18" s="380" t="str">
        <f>Resumo!A16</f>
        <v>2.4</v>
      </c>
      <c r="B18" s="1463" t="str">
        <f>Resumo!B16</f>
        <v>SINALIZAÇÃO</v>
      </c>
      <c r="C18" s="1463"/>
      <c r="D18" s="419" t="e">
        <f>F18-E18</f>
        <v>#REF!</v>
      </c>
      <c r="E18" s="419" t="e">
        <f>$L$11*F18</f>
        <v>#REF!</v>
      </c>
      <c r="F18" s="444">
        <f>Resumo!E16</f>
        <v>1805.61</v>
      </c>
      <c r="G18" s="638"/>
      <c r="H18" s="27"/>
      <c r="I18" s="342"/>
      <c r="K18" s="639"/>
    </row>
    <row r="19" spans="1:11" ht="23.25" hidden="1" customHeight="1" x14ac:dyDescent="0.2">
      <c r="A19" s="380"/>
      <c r="B19" s="1462"/>
      <c r="C19" s="1462"/>
      <c r="D19" s="419"/>
      <c r="E19" s="419"/>
      <c r="F19" s="444"/>
      <c r="G19" s="638"/>
      <c r="H19" s="27"/>
      <c r="I19" s="342"/>
      <c r="K19" s="639"/>
    </row>
    <row r="20" spans="1:11" ht="23.25" customHeight="1" x14ac:dyDescent="0.2">
      <c r="A20" s="636">
        <f>Resumo!A18</f>
        <v>3</v>
      </c>
      <c r="B20" s="1462" t="str">
        <f>Resumo!B18</f>
        <v>PAVIMENTAÇÃO EM CBUQ</v>
      </c>
      <c r="C20" s="1462"/>
      <c r="D20" s="419"/>
      <c r="E20" s="419"/>
      <c r="F20" s="444"/>
      <c r="G20" s="638"/>
      <c r="H20" s="27"/>
      <c r="I20" s="342"/>
      <c r="K20" s="639"/>
    </row>
    <row r="21" spans="1:11" ht="23.25" customHeight="1" x14ac:dyDescent="0.2">
      <c r="A21" s="380" t="str">
        <f>Resumo!A19</f>
        <v>3.1</v>
      </c>
      <c r="B21" s="1463" t="str">
        <f>Resumo!B19</f>
        <v>TERRAPLENAGEM</v>
      </c>
      <c r="C21" s="1463"/>
      <c r="D21" s="419" t="e">
        <f t="shared" ref="D21:D24" si="0">F21-E21</f>
        <v>#REF!</v>
      </c>
      <c r="E21" s="419" t="e">
        <f t="shared" ref="E21:E24" si="1">$L$11*F21</f>
        <v>#REF!</v>
      </c>
      <c r="F21" s="444">
        <f>Resumo!E19</f>
        <v>61855.42</v>
      </c>
      <c r="G21" s="638"/>
      <c r="H21" s="27"/>
      <c r="I21" s="342"/>
      <c r="K21" s="639"/>
    </row>
    <row r="22" spans="1:11" ht="23.25" customHeight="1" x14ac:dyDescent="0.2">
      <c r="A22" s="380" t="str">
        <f>Resumo!A20</f>
        <v>3.2</v>
      </c>
      <c r="B22" s="1463" t="str">
        <f>Resumo!B20</f>
        <v>PAVIMENTAÇÃO</v>
      </c>
      <c r="C22" s="1463"/>
      <c r="D22" s="419" t="e">
        <f t="shared" si="0"/>
        <v>#REF!</v>
      </c>
      <c r="E22" s="419" t="e">
        <f t="shared" si="1"/>
        <v>#REF!</v>
      </c>
      <c r="F22" s="444">
        <f>Resumo!E20</f>
        <v>1897640.16</v>
      </c>
      <c r="G22" s="638"/>
      <c r="H22" s="27"/>
      <c r="I22" s="342"/>
      <c r="K22" s="639"/>
    </row>
    <row r="23" spans="1:11" ht="23.25" customHeight="1" x14ac:dyDescent="0.2">
      <c r="A23" s="380" t="str">
        <f>Resumo!A21</f>
        <v>3.3</v>
      </c>
      <c r="B23" s="1463" t="str">
        <f>Resumo!B21</f>
        <v>OBRAS COMPLEMENTARES</v>
      </c>
      <c r="C23" s="1463"/>
      <c r="D23" s="419" t="e">
        <f t="shared" si="0"/>
        <v>#REF!</v>
      </c>
      <c r="E23" s="419" t="e">
        <f t="shared" si="1"/>
        <v>#REF!</v>
      </c>
      <c r="F23" s="444">
        <f>Resumo!E21</f>
        <v>433399.93</v>
      </c>
      <c r="G23" s="638"/>
      <c r="H23" s="27"/>
    </row>
    <row r="24" spans="1:11" ht="23.25" customHeight="1" x14ac:dyDescent="0.2">
      <c r="A24" s="380" t="str">
        <f>Resumo!A22</f>
        <v>3.4</v>
      </c>
      <c r="B24" s="1463" t="str">
        <f>Resumo!B22</f>
        <v>SINALIZAÇÃO VIÁRIA</v>
      </c>
      <c r="C24" s="1463"/>
      <c r="D24" s="419" t="e">
        <f t="shared" si="0"/>
        <v>#REF!</v>
      </c>
      <c r="E24" s="419" t="e">
        <f t="shared" si="1"/>
        <v>#REF!</v>
      </c>
      <c r="F24" s="444">
        <f>Resumo!E22</f>
        <v>112349.08</v>
      </c>
      <c r="G24" s="638"/>
      <c r="H24" s="27"/>
      <c r="I24" s="254"/>
    </row>
    <row r="25" spans="1:11" ht="23.25" customHeight="1" x14ac:dyDescent="0.2">
      <c r="A25" s="636"/>
      <c r="B25" s="1462"/>
      <c r="C25" s="1462"/>
      <c r="D25" s="419"/>
      <c r="E25" s="419"/>
      <c r="F25" s="444"/>
      <c r="G25" s="638"/>
      <c r="H25" s="27"/>
      <c r="I25" s="254"/>
    </row>
    <row r="26" spans="1:11" ht="23.25" customHeight="1" x14ac:dyDescent="0.2">
      <c r="A26" s="380"/>
      <c r="B26" s="1462"/>
      <c r="C26" s="1462"/>
      <c r="D26" s="419"/>
      <c r="E26" s="419"/>
      <c r="F26" s="419"/>
      <c r="G26" s="638"/>
      <c r="H26" s="27"/>
      <c r="I26" s="254"/>
    </row>
    <row r="27" spans="1:11" ht="23.25" customHeight="1" x14ac:dyDescent="0.2">
      <c r="A27" s="1469" t="s">
        <v>13</v>
      </c>
      <c r="B27" s="1470"/>
      <c r="C27" s="1471"/>
      <c r="D27" s="640" t="e">
        <f>SUM(D10:D26)</f>
        <v>#REF!</v>
      </c>
      <c r="E27" s="640" t="e">
        <f>SUM(E10:E24)</f>
        <v>#REF!</v>
      </c>
      <c r="F27" s="641" t="e">
        <f>SUM(F10:F26)</f>
        <v>#REF!</v>
      </c>
      <c r="G27" s="642">
        <f>SUM(G10:G26)</f>
        <v>0</v>
      </c>
      <c r="H27" s="27"/>
      <c r="I27" s="254"/>
      <c r="J27" s="254"/>
    </row>
    <row r="28" spans="1:11" ht="23.25" customHeight="1" thickBot="1" x14ac:dyDescent="0.25">
      <c r="A28" s="1472"/>
      <c r="B28" s="1473"/>
      <c r="C28" s="1474"/>
      <c r="D28" s="420"/>
      <c r="E28" s="420"/>
      <c r="F28" s="420"/>
      <c r="G28" s="643"/>
      <c r="H28" s="27"/>
    </row>
    <row r="29" spans="1:11" ht="15" x14ac:dyDescent="0.2">
      <c r="A29" s="27"/>
      <c r="B29" s="644"/>
      <c r="C29" s="644"/>
      <c r="D29" s="644"/>
      <c r="E29" s="645"/>
      <c r="F29" s="645"/>
      <c r="G29" s="646"/>
      <c r="H29" s="27"/>
      <c r="I29" s="348"/>
      <c r="J29" s="647"/>
    </row>
    <row r="30" spans="1:11" ht="15" x14ac:dyDescent="0.2">
      <c r="A30" s="27"/>
      <c r="B30" s="644"/>
      <c r="C30" s="644"/>
      <c r="D30" s="916"/>
      <c r="E30" s="27"/>
      <c r="F30" s="27"/>
      <c r="G30" s="27"/>
      <c r="H30" s="27"/>
    </row>
    <row r="31" spans="1:11" ht="15.75" x14ac:dyDescent="0.2">
      <c r="B31" s="648"/>
      <c r="C31" s="648"/>
    </row>
    <row r="32" spans="1:11" x14ac:dyDescent="0.2">
      <c r="B32" s="418"/>
      <c r="C32" s="418"/>
      <c r="E32" s="354"/>
    </row>
    <row r="33" spans="2:3" ht="15" x14ac:dyDescent="0.2">
      <c r="B33" s="908" t="str">
        <f>Terrap.!B26</f>
        <v>Robson Darcio Sousa</v>
      </c>
      <c r="C33" s="649"/>
    </row>
    <row r="34" spans="2:3" x14ac:dyDescent="0.2">
      <c r="B34" s="909" t="str">
        <f>Terrap.!B27</f>
        <v>ENGº CIVIL</v>
      </c>
      <c r="C34" s="650"/>
    </row>
    <row r="35" spans="2:3" x14ac:dyDescent="0.2">
      <c r="B35" s="909" t="str">
        <f>Terrap.!B28</f>
        <v>Crea: 120.263.916-0</v>
      </c>
    </row>
  </sheetData>
  <mergeCells count="33">
    <mergeCell ref="A27:C27"/>
    <mergeCell ref="A28:C28"/>
    <mergeCell ref="B24:C24"/>
    <mergeCell ref="B25:C25"/>
    <mergeCell ref="B26:C26"/>
    <mergeCell ref="B23:C23"/>
    <mergeCell ref="A7:G7"/>
    <mergeCell ref="B8:C9"/>
    <mergeCell ref="B10:C10"/>
    <mergeCell ref="B12:C12"/>
    <mergeCell ref="B13:C13"/>
    <mergeCell ref="A8:A9"/>
    <mergeCell ref="D8:G8"/>
    <mergeCell ref="B14:C14"/>
    <mergeCell ref="B15:C15"/>
    <mergeCell ref="B16:C16"/>
    <mergeCell ref="B17:C17"/>
    <mergeCell ref="B11:C11"/>
    <mergeCell ref="B19:C19"/>
    <mergeCell ref="B18:C18"/>
    <mergeCell ref="A1:G1"/>
    <mergeCell ref="A2:G2"/>
    <mergeCell ref="B20:C20"/>
    <mergeCell ref="B21:C21"/>
    <mergeCell ref="B22:C22"/>
    <mergeCell ref="B3:C3"/>
    <mergeCell ref="B4:C4"/>
    <mergeCell ref="B5:C5"/>
    <mergeCell ref="E3:F3"/>
    <mergeCell ref="D4:D6"/>
    <mergeCell ref="E4:F6"/>
    <mergeCell ref="G4:G6"/>
    <mergeCell ref="B6:C6"/>
  </mergeCells>
  <pageMargins left="0.31496062992125984" right="0.31496062992125984" top="0.59055118110236227" bottom="0.59055118110236227" header="0.31496062992125984" footer="0.31496062992125984"/>
  <pageSetup paperSize="9" scale="8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/>
  <dimension ref="A1:I125"/>
  <sheetViews>
    <sheetView view="pageBreakPreview" topLeftCell="A31" zoomScale="115" zoomScaleSheetLayoutView="115" workbookViewId="0">
      <selection activeCell="I35" sqref="I35"/>
    </sheetView>
  </sheetViews>
  <sheetFormatPr defaultColWidth="9.140625" defaultRowHeight="12.75" x14ac:dyDescent="0.2"/>
  <cols>
    <col min="1" max="1" width="17.140625" style="829" customWidth="1"/>
    <col min="2" max="2" width="49.140625" style="565" customWidth="1"/>
    <col min="3" max="3" width="12.85546875" style="565" customWidth="1"/>
    <col min="4" max="4" width="18.5703125" style="565" customWidth="1"/>
    <col min="5" max="5" width="12.28515625" style="565" customWidth="1"/>
    <col min="6" max="6" width="12.7109375" style="565" customWidth="1"/>
    <col min="7" max="8" width="9.140625" style="565"/>
    <col min="9" max="9" width="10.140625" style="565" bestFit="1" customWidth="1"/>
    <col min="10" max="16384" width="9.140625" style="565"/>
  </cols>
  <sheetData>
    <row r="1" spans="1:6" ht="15.75" x14ac:dyDescent="0.2">
      <c r="A1" s="1111" t="str">
        <f>Terrap.!A1</f>
        <v>ESTADO DE MATO GROSSO</v>
      </c>
      <c r="B1" s="1112"/>
      <c r="C1" s="1112"/>
      <c r="D1" s="1112"/>
      <c r="E1" s="1112"/>
      <c r="F1" s="1113"/>
    </row>
    <row r="2" spans="1:6" ht="15.75" x14ac:dyDescent="0.2">
      <c r="A2" s="1486" t="str">
        <f>Terrap.!A2</f>
        <v xml:space="preserve">PREFEITURA MUNICIPAL DE BARRA DO BUGRES </v>
      </c>
      <c r="B2" s="1487"/>
      <c r="C2" s="1487"/>
      <c r="D2" s="1487"/>
      <c r="E2" s="1487"/>
      <c r="F2" s="1488"/>
    </row>
    <row r="3" spans="1:6" ht="15.75" x14ac:dyDescent="0.2">
      <c r="A3" s="651" t="s">
        <v>56</v>
      </c>
      <c r="B3" s="1492" t="str">
        <f>Terrap.!B3</f>
        <v xml:space="preserve">PAVIMENTAÇÃO ASFALTICA E DRENAGEM DE AGUAS PLUVIAIS </v>
      </c>
      <c r="C3" s="1492"/>
      <c r="D3" s="1492"/>
      <c r="E3" s="1492"/>
      <c r="F3" s="1493"/>
    </row>
    <row r="4" spans="1:6" ht="15.75" x14ac:dyDescent="0.2">
      <c r="A4" s="651" t="s">
        <v>57</v>
      </c>
      <c r="B4" s="653" t="str">
        <f>Terrap.!B4</f>
        <v>DIVERSAS RUAS - PERIMETRO URBANO</v>
      </c>
      <c r="C4" s="653"/>
      <c r="D4" s="1494" t="s">
        <v>60</v>
      </c>
      <c r="E4" s="1494"/>
      <c r="F4" s="654">
        <f>Terrap.!F6</f>
        <v>0.25640000000000002</v>
      </c>
    </row>
    <row r="5" spans="1:6" ht="15.75" customHeight="1" x14ac:dyDescent="0.2">
      <c r="A5" s="651" t="s">
        <v>58</v>
      </c>
      <c r="B5" s="653" t="str">
        <f>Terrap.!B5</f>
        <v xml:space="preserve">PREFEITURA MUNICIPAL DE BARRA DO BUGRES </v>
      </c>
      <c r="C5" s="653"/>
      <c r="D5" s="1224" t="str">
        <f>Terrap.!I3</f>
        <v>SINAPI - JULHO / 2020    DESONERADO                                                                                                                           SICRO 10/2019</v>
      </c>
      <c r="E5" s="1224"/>
      <c r="F5" s="1225"/>
    </row>
    <row r="6" spans="1:6" ht="24" customHeight="1" thickBot="1" x14ac:dyDescent="0.25">
      <c r="A6" s="652" t="s">
        <v>59</v>
      </c>
      <c r="B6" s="655">
        <f>Terrap.!B6</f>
        <v>31131.72</v>
      </c>
      <c r="C6" s="408" t="s">
        <v>61</v>
      </c>
      <c r="D6" s="1226"/>
      <c r="E6" s="1226"/>
      <c r="F6" s="1227"/>
    </row>
    <row r="7" spans="1:6" s="936" customFormat="1" ht="24.75" customHeight="1" thickBot="1" x14ac:dyDescent="0.25">
      <c r="A7" s="1489" t="s">
        <v>331</v>
      </c>
      <c r="B7" s="1490"/>
      <c r="C7" s="1490"/>
      <c r="D7" s="1490"/>
      <c r="E7" s="1490"/>
      <c r="F7" s="1491"/>
    </row>
    <row r="8" spans="1:6" s="938" customFormat="1" ht="22.5" customHeight="1" thickBot="1" x14ac:dyDescent="0.25">
      <c r="A8" s="937" t="s">
        <v>547</v>
      </c>
      <c r="B8" s="1481" t="s">
        <v>104</v>
      </c>
      <c r="C8" s="1481"/>
      <c r="D8" s="1481"/>
      <c r="E8" s="1481"/>
      <c r="F8" s="812" t="s">
        <v>512</v>
      </c>
    </row>
    <row r="9" spans="1:6" s="936" customFormat="1" x14ac:dyDescent="0.2">
      <c r="A9" s="1482" t="s">
        <v>612</v>
      </c>
      <c r="B9" s="1483"/>
      <c r="C9" s="1483"/>
      <c r="D9" s="1483"/>
      <c r="E9" s="1483"/>
      <c r="F9" s="1484"/>
    </row>
    <row r="10" spans="1:6" s="936" customFormat="1" x14ac:dyDescent="0.2">
      <c r="A10" s="220" t="s">
        <v>188</v>
      </c>
      <c r="B10" s="189" t="s">
        <v>183</v>
      </c>
      <c r="C10" s="36" t="s">
        <v>184</v>
      </c>
      <c r="D10" s="36" t="s">
        <v>185</v>
      </c>
      <c r="E10" s="36" t="s">
        <v>186</v>
      </c>
      <c r="F10" s="301" t="s">
        <v>187</v>
      </c>
    </row>
    <row r="11" spans="1:6" s="936" customFormat="1" ht="63.75" x14ac:dyDescent="0.2">
      <c r="A11" s="223">
        <v>5901</v>
      </c>
      <c r="B11" s="300" t="s">
        <v>598</v>
      </c>
      <c r="C11" s="37" t="s">
        <v>190</v>
      </c>
      <c r="D11" s="190" t="s">
        <v>605</v>
      </c>
      <c r="E11" s="193">
        <v>163.22999999999999</v>
      </c>
      <c r="F11" s="696">
        <f t="shared" ref="F11:F18" si="0">ROUND((D11*E11),3)</f>
        <v>0.26300000000000001</v>
      </c>
    </row>
    <row r="12" spans="1:6" s="936" customFormat="1" ht="63.75" x14ac:dyDescent="0.2">
      <c r="A12" s="223">
        <v>5903</v>
      </c>
      <c r="B12" s="300" t="s">
        <v>599</v>
      </c>
      <c r="C12" s="37" t="s">
        <v>192</v>
      </c>
      <c r="D12" s="190" t="s">
        <v>606</v>
      </c>
      <c r="E12" s="193">
        <v>29.6</v>
      </c>
      <c r="F12" s="696">
        <f t="shared" si="0"/>
        <v>3.2000000000000001E-2</v>
      </c>
    </row>
    <row r="13" spans="1:6" s="936" customFormat="1" ht="51" x14ac:dyDescent="0.2">
      <c r="A13" s="223">
        <v>5932</v>
      </c>
      <c r="B13" s="300" t="s">
        <v>600</v>
      </c>
      <c r="C13" s="37" t="s">
        <v>190</v>
      </c>
      <c r="D13" s="190" t="s">
        <v>607</v>
      </c>
      <c r="E13" s="193">
        <v>132.44999999999999</v>
      </c>
      <c r="F13" s="696">
        <f t="shared" si="0"/>
        <v>0.245</v>
      </c>
    </row>
    <row r="14" spans="1:6" s="936" customFormat="1" ht="51" x14ac:dyDescent="0.2">
      <c r="A14" s="223">
        <v>5934</v>
      </c>
      <c r="B14" s="300" t="s">
        <v>601</v>
      </c>
      <c r="C14" s="37" t="s">
        <v>192</v>
      </c>
      <c r="D14" s="190" t="s">
        <v>608</v>
      </c>
      <c r="E14" s="193">
        <v>46.05</v>
      </c>
      <c r="F14" s="696">
        <f t="shared" si="0"/>
        <v>3.7999999999999999E-2</v>
      </c>
    </row>
    <row r="15" spans="1:6" s="936" customFormat="1" ht="63.75" x14ac:dyDescent="0.2">
      <c r="A15" s="223">
        <v>7049</v>
      </c>
      <c r="B15" s="300" t="s">
        <v>602</v>
      </c>
      <c r="C15" s="37" t="s">
        <v>190</v>
      </c>
      <c r="D15" s="190" t="s">
        <v>609</v>
      </c>
      <c r="E15" s="193">
        <v>117.82</v>
      </c>
      <c r="F15" s="696">
        <f t="shared" si="0"/>
        <v>0.316</v>
      </c>
    </row>
    <row r="16" spans="1:6" s="936" customFormat="1" x14ac:dyDescent="0.2">
      <c r="A16" s="223">
        <v>88316</v>
      </c>
      <c r="B16" s="300" t="s">
        <v>298</v>
      </c>
      <c r="C16" s="37" t="s">
        <v>195</v>
      </c>
      <c r="D16" s="190" t="s">
        <v>610</v>
      </c>
      <c r="E16" s="193">
        <v>14.37</v>
      </c>
      <c r="F16" s="696">
        <f t="shared" si="0"/>
        <v>0.154</v>
      </c>
    </row>
    <row r="17" spans="1:6" s="936" customFormat="1" ht="38.25" x14ac:dyDescent="0.2">
      <c r="A17" s="223">
        <v>96028</v>
      </c>
      <c r="B17" s="300" t="s">
        <v>603</v>
      </c>
      <c r="C17" s="37" t="s">
        <v>190</v>
      </c>
      <c r="D17" s="190" t="s">
        <v>611</v>
      </c>
      <c r="E17" s="193">
        <v>102.89</v>
      </c>
      <c r="F17" s="696">
        <f t="shared" si="0"/>
        <v>0.13800000000000001</v>
      </c>
    </row>
    <row r="18" spans="1:6" s="936" customFormat="1" ht="38.25" x14ac:dyDescent="0.2">
      <c r="A18" s="223">
        <v>96029</v>
      </c>
      <c r="B18" s="300" t="s">
        <v>604</v>
      </c>
      <c r="C18" s="37" t="s">
        <v>192</v>
      </c>
      <c r="D18" s="190" t="s">
        <v>611</v>
      </c>
      <c r="E18" s="193">
        <v>23.79</v>
      </c>
      <c r="F18" s="696">
        <f t="shared" si="0"/>
        <v>3.2000000000000001E-2</v>
      </c>
    </row>
    <row r="19" spans="1:6" s="936" customFormat="1" x14ac:dyDescent="0.2">
      <c r="A19" s="220"/>
      <c r="B19" s="189"/>
      <c r="C19" s="189"/>
      <c r="D19" s="189"/>
      <c r="E19" s="194"/>
      <c r="F19" s="221">
        <f>SUM(F11:F18)</f>
        <v>1.22</v>
      </c>
    </row>
    <row r="20" spans="1:6" s="936" customFormat="1" ht="13.5" thickBot="1" x14ac:dyDescent="0.25">
      <c r="A20" s="204"/>
      <c r="B20" s="205"/>
      <c r="C20" s="205"/>
      <c r="D20" s="205"/>
      <c r="E20" s="205"/>
      <c r="F20" s="207"/>
    </row>
    <row r="21" spans="1:6" s="936" customFormat="1" ht="13.5" thickBot="1" x14ac:dyDescent="0.25">
      <c r="A21" s="195"/>
      <c r="B21" s="196"/>
      <c r="C21" s="196"/>
      <c r="D21" s="196"/>
      <c r="E21" s="196"/>
      <c r="F21" s="196"/>
    </row>
    <row r="22" spans="1:6" s="938" customFormat="1" ht="30.75" customHeight="1" thickBot="1" x14ac:dyDescent="0.25">
      <c r="A22" s="937" t="s">
        <v>694</v>
      </c>
      <c r="B22" s="1485" t="s">
        <v>619</v>
      </c>
      <c r="C22" s="1485"/>
      <c r="D22" s="1485"/>
      <c r="E22" s="1485"/>
      <c r="F22" s="812" t="s">
        <v>512</v>
      </c>
    </row>
    <row r="23" spans="1:6" s="936" customFormat="1" ht="72" x14ac:dyDescent="0.2">
      <c r="A23" s="939">
        <v>5901</v>
      </c>
      <c r="B23" s="940" t="s">
        <v>598</v>
      </c>
      <c r="C23" s="941" t="s">
        <v>190</v>
      </c>
      <c r="D23" s="942" t="s">
        <v>620</v>
      </c>
      <c r="E23" s="1005">
        <v>163.26</v>
      </c>
      <c r="F23" s="943">
        <f>D23*E23</f>
        <v>1.04</v>
      </c>
    </row>
    <row r="24" spans="1:6" s="936" customFormat="1" ht="72" x14ac:dyDescent="0.2">
      <c r="A24" s="944">
        <v>5903</v>
      </c>
      <c r="B24" s="945" t="s">
        <v>599</v>
      </c>
      <c r="C24" s="946" t="s">
        <v>192</v>
      </c>
      <c r="D24" s="947" t="s">
        <v>621</v>
      </c>
      <c r="E24" s="1003">
        <v>29.6</v>
      </c>
      <c r="F24" s="948">
        <f t="shared" ref="F24:F35" si="1">D24*E24</f>
        <v>0.28000000000000003</v>
      </c>
    </row>
    <row r="25" spans="1:6" s="936" customFormat="1" ht="36" x14ac:dyDescent="0.2">
      <c r="A25" s="944">
        <v>5921</v>
      </c>
      <c r="B25" s="945" t="s">
        <v>622</v>
      </c>
      <c r="C25" s="946" t="s">
        <v>190</v>
      </c>
      <c r="D25" s="947" t="s">
        <v>623</v>
      </c>
      <c r="E25" s="1003">
        <v>2.4900000000000002</v>
      </c>
      <c r="F25" s="948">
        <f t="shared" si="1"/>
        <v>0.01</v>
      </c>
    </row>
    <row r="26" spans="1:6" s="936" customFormat="1" ht="36" x14ac:dyDescent="0.2">
      <c r="A26" s="944">
        <v>5923</v>
      </c>
      <c r="B26" s="945" t="s">
        <v>624</v>
      </c>
      <c r="C26" s="946" t="s">
        <v>192</v>
      </c>
      <c r="D26" s="947" t="s">
        <v>625</v>
      </c>
      <c r="E26" s="1003">
        <v>1.55</v>
      </c>
      <c r="F26" s="948">
        <f t="shared" si="1"/>
        <v>0.02</v>
      </c>
    </row>
    <row r="27" spans="1:6" s="936" customFormat="1" ht="48" x14ac:dyDescent="0.2">
      <c r="A27" s="944">
        <v>5932</v>
      </c>
      <c r="B27" s="945" t="s">
        <v>600</v>
      </c>
      <c r="C27" s="946" t="s">
        <v>190</v>
      </c>
      <c r="D27" s="947" t="s">
        <v>626</v>
      </c>
      <c r="E27" s="1003">
        <v>132.44999999999999</v>
      </c>
      <c r="F27" s="948">
        <f t="shared" si="1"/>
        <v>1.02</v>
      </c>
    </row>
    <row r="28" spans="1:6" s="936" customFormat="1" ht="48" x14ac:dyDescent="0.2">
      <c r="A28" s="944">
        <v>5934</v>
      </c>
      <c r="B28" s="945" t="s">
        <v>601</v>
      </c>
      <c r="C28" s="946" t="s">
        <v>192</v>
      </c>
      <c r="D28" s="947" t="s">
        <v>627</v>
      </c>
      <c r="E28" s="1003">
        <v>46.05</v>
      </c>
      <c r="F28" s="948">
        <f t="shared" si="1"/>
        <v>0.38</v>
      </c>
    </row>
    <row r="29" spans="1:6" s="936" customFormat="1" ht="60" x14ac:dyDescent="0.2">
      <c r="A29" s="944">
        <v>73436</v>
      </c>
      <c r="B29" s="945" t="s">
        <v>628</v>
      </c>
      <c r="C29" s="946" t="s">
        <v>190</v>
      </c>
      <c r="D29" s="947" t="s">
        <v>629</v>
      </c>
      <c r="E29" s="1004">
        <v>113</v>
      </c>
      <c r="F29" s="948">
        <f>E29*D29</f>
        <v>0.84</v>
      </c>
    </row>
    <row r="30" spans="1:6" s="936" customFormat="1" x14ac:dyDescent="0.2">
      <c r="A30" s="944">
        <v>88316</v>
      </c>
      <c r="B30" s="945" t="s">
        <v>298</v>
      </c>
      <c r="C30" s="946" t="s">
        <v>195</v>
      </c>
      <c r="D30" s="947" t="s">
        <v>630</v>
      </c>
      <c r="E30" s="1003">
        <v>14.37</v>
      </c>
      <c r="F30" s="948">
        <f t="shared" si="1"/>
        <v>0.8</v>
      </c>
    </row>
    <row r="31" spans="1:6" s="936" customFormat="1" ht="36" x14ac:dyDescent="0.2">
      <c r="A31" s="944">
        <v>89035</v>
      </c>
      <c r="B31" s="945" t="s">
        <v>631</v>
      </c>
      <c r="C31" s="946" t="s">
        <v>190</v>
      </c>
      <c r="D31" s="947" t="s">
        <v>623</v>
      </c>
      <c r="E31" s="1003">
        <v>98.87</v>
      </c>
      <c r="F31" s="948">
        <f t="shared" si="1"/>
        <v>0.27</v>
      </c>
    </row>
    <row r="32" spans="1:6" s="936" customFormat="1" ht="36" x14ac:dyDescent="0.2">
      <c r="A32" s="944">
        <v>89036</v>
      </c>
      <c r="B32" s="945" t="s">
        <v>632</v>
      </c>
      <c r="C32" s="946" t="s">
        <v>192</v>
      </c>
      <c r="D32" s="947" t="s">
        <v>625</v>
      </c>
      <c r="E32" s="1003">
        <v>21.74</v>
      </c>
      <c r="F32" s="948">
        <f t="shared" si="1"/>
        <v>0.28999999999999998</v>
      </c>
    </row>
    <row r="33" spans="1:6" s="936" customFormat="1" ht="60" x14ac:dyDescent="0.2">
      <c r="A33" s="944">
        <v>93244</v>
      </c>
      <c r="B33" s="945" t="s">
        <v>633</v>
      </c>
      <c r="C33" s="946" t="s">
        <v>192</v>
      </c>
      <c r="D33" s="947" t="s">
        <v>634</v>
      </c>
      <c r="E33" s="1003">
        <v>32.31</v>
      </c>
      <c r="F33" s="948">
        <f t="shared" si="1"/>
        <v>0.28000000000000003</v>
      </c>
    </row>
    <row r="34" spans="1:6" s="936" customFormat="1" ht="48" x14ac:dyDescent="0.2">
      <c r="A34" s="944">
        <v>96463</v>
      </c>
      <c r="B34" s="945" t="s">
        <v>635</v>
      </c>
      <c r="C34" s="946" t="s">
        <v>190</v>
      </c>
      <c r="D34" s="947" t="s">
        <v>636</v>
      </c>
      <c r="E34" s="1003">
        <v>113.48</v>
      </c>
      <c r="F34" s="948">
        <f t="shared" si="1"/>
        <v>0.11</v>
      </c>
    </row>
    <row r="35" spans="1:6" s="936" customFormat="1" ht="48" x14ac:dyDescent="0.2">
      <c r="A35" s="944">
        <v>96464</v>
      </c>
      <c r="B35" s="945" t="s">
        <v>637</v>
      </c>
      <c r="C35" s="946" t="s">
        <v>192</v>
      </c>
      <c r="D35" s="947" t="s">
        <v>638</v>
      </c>
      <c r="E35" s="1003">
        <v>43.53</v>
      </c>
      <c r="F35" s="948">
        <f t="shared" si="1"/>
        <v>0.65</v>
      </c>
    </row>
    <row r="36" spans="1:6" s="936" customFormat="1" ht="13.5" thickBot="1" x14ac:dyDescent="0.25">
      <c r="A36" s="949"/>
      <c r="B36" s="930"/>
      <c r="C36" s="930"/>
      <c r="D36" s="930"/>
      <c r="E36" s="950"/>
      <c r="F36" s="951">
        <f>SUM(F23:F35)</f>
        <v>5.99</v>
      </c>
    </row>
    <row r="37" spans="1:6" s="936" customFormat="1" ht="13.5" thickBot="1" x14ac:dyDescent="0.25">
      <c r="A37" s="825"/>
      <c r="B37" s="825"/>
      <c r="C37" s="825"/>
      <c r="D37" s="825"/>
      <c r="E37" s="825"/>
      <c r="F37" s="826"/>
    </row>
    <row r="38" spans="1:6" s="936" customFormat="1" ht="28.5" customHeight="1" thickBot="1" x14ac:dyDescent="0.25">
      <c r="A38" s="937" t="s">
        <v>695</v>
      </c>
      <c r="B38" s="1478" t="s">
        <v>531</v>
      </c>
      <c r="C38" s="1478"/>
      <c r="D38" s="1478"/>
      <c r="E38" s="1478"/>
      <c r="F38" s="812" t="s">
        <v>49</v>
      </c>
    </row>
    <row r="39" spans="1:6" s="936" customFormat="1" x14ac:dyDescent="0.2">
      <c r="A39" s="1479" t="s">
        <v>523</v>
      </c>
      <c r="B39" s="1479"/>
      <c r="C39" s="1479"/>
      <c r="D39" s="1479"/>
      <c r="E39" s="1479"/>
      <c r="F39" s="1480"/>
    </row>
    <row r="40" spans="1:6" s="936" customFormat="1" x14ac:dyDescent="0.2">
      <c r="A40" s="1476" t="s">
        <v>357</v>
      </c>
      <c r="B40" s="1476"/>
      <c r="C40" s="1476"/>
      <c r="D40" s="1476"/>
      <c r="E40" s="1476"/>
      <c r="F40" s="1477"/>
    </row>
    <row r="41" spans="1:6" s="936" customFormat="1" ht="38.25" x14ac:dyDescent="0.2">
      <c r="A41" s="813">
        <v>4417</v>
      </c>
      <c r="B41" s="814" t="s">
        <v>524</v>
      </c>
      <c r="C41" s="815" t="s">
        <v>514</v>
      </c>
      <c r="D41" s="816">
        <v>1.4</v>
      </c>
      <c r="E41" s="817">
        <v>3.02</v>
      </c>
      <c r="F41" s="818">
        <f>E41*D41</f>
        <v>4.2300000000000004</v>
      </c>
    </row>
    <row r="42" spans="1:6" s="936" customFormat="1" ht="38.25" x14ac:dyDescent="0.2">
      <c r="A42" s="813">
        <v>4433</v>
      </c>
      <c r="B42" s="814" t="s">
        <v>525</v>
      </c>
      <c r="C42" s="815" t="s">
        <v>514</v>
      </c>
      <c r="D42" s="816">
        <v>3</v>
      </c>
      <c r="E42" s="817">
        <v>6.94</v>
      </c>
      <c r="F42" s="818">
        <f>E42*D42</f>
        <v>20.82</v>
      </c>
    </row>
    <row r="43" spans="1:6" s="936" customFormat="1" x14ac:dyDescent="0.2">
      <c r="A43" s="813">
        <v>7288</v>
      </c>
      <c r="B43" s="814" t="s">
        <v>526</v>
      </c>
      <c r="C43" s="815" t="s">
        <v>527</v>
      </c>
      <c r="D43" s="816">
        <v>0.33</v>
      </c>
      <c r="E43" s="817">
        <v>26.23</v>
      </c>
      <c r="F43" s="818">
        <f>E43*D43</f>
        <v>8.66</v>
      </c>
    </row>
    <row r="44" spans="1:6" s="936" customFormat="1" x14ac:dyDescent="0.2">
      <c r="A44" s="1475" t="s">
        <v>359</v>
      </c>
      <c r="B44" s="1475"/>
      <c r="C44" s="1475"/>
      <c r="D44" s="1475"/>
      <c r="E44" s="1475"/>
      <c r="F44" s="824">
        <f>SUM(F41:F43)</f>
        <v>33.71</v>
      </c>
    </row>
    <row r="45" spans="1:6" s="936" customFormat="1" x14ac:dyDescent="0.2">
      <c r="A45" s="1476" t="s">
        <v>358</v>
      </c>
      <c r="B45" s="1476"/>
      <c r="C45" s="1476"/>
      <c r="D45" s="1476"/>
      <c r="E45" s="1476"/>
      <c r="F45" s="1477"/>
    </row>
    <row r="46" spans="1:6" s="936" customFormat="1" ht="25.5" x14ac:dyDescent="0.2">
      <c r="A46" s="819">
        <v>88262</v>
      </c>
      <c r="B46" s="820" t="s">
        <v>528</v>
      </c>
      <c r="C46" s="821" t="s">
        <v>195</v>
      </c>
      <c r="D46" s="822">
        <v>1</v>
      </c>
      <c r="E46" s="1002">
        <v>17.64</v>
      </c>
      <c r="F46" s="823">
        <f>E46*D46</f>
        <v>17.64</v>
      </c>
    </row>
    <row r="47" spans="1:6" s="936" customFormat="1" x14ac:dyDescent="0.2">
      <c r="A47" s="819">
        <v>88310</v>
      </c>
      <c r="B47" s="820" t="s">
        <v>529</v>
      </c>
      <c r="C47" s="821" t="s">
        <v>195</v>
      </c>
      <c r="D47" s="822">
        <v>0.5</v>
      </c>
      <c r="E47" s="1002">
        <v>18.88</v>
      </c>
      <c r="F47" s="823">
        <f>E47*D47</f>
        <v>9.44</v>
      </c>
    </row>
    <row r="48" spans="1:6" s="936" customFormat="1" x14ac:dyDescent="0.2">
      <c r="A48" s="819">
        <v>88316</v>
      </c>
      <c r="B48" s="820" t="s">
        <v>298</v>
      </c>
      <c r="C48" s="821" t="s">
        <v>195</v>
      </c>
      <c r="D48" s="822">
        <v>2</v>
      </c>
      <c r="E48" s="1002">
        <v>14.37</v>
      </c>
      <c r="F48" s="823">
        <f>E48*D48</f>
        <v>28.74</v>
      </c>
    </row>
    <row r="49" spans="1:6" s="936" customFormat="1" x14ac:dyDescent="0.2">
      <c r="A49" s="1475" t="s">
        <v>359</v>
      </c>
      <c r="B49" s="1475"/>
      <c r="C49" s="1475"/>
      <c r="D49" s="1475"/>
      <c r="E49" s="1475"/>
      <c r="F49" s="824">
        <f>SUM(F46:F48)</f>
        <v>55.82</v>
      </c>
    </row>
    <row r="50" spans="1:6" s="936" customFormat="1" x14ac:dyDescent="0.2">
      <c r="A50" s="1475" t="s">
        <v>530</v>
      </c>
      <c r="B50" s="1475"/>
      <c r="C50" s="1475"/>
      <c r="D50" s="1475"/>
      <c r="E50" s="1475"/>
      <c r="F50" s="824">
        <f>F49+F44</f>
        <v>89.53</v>
      </c>
    </row>
    <row r="51" spans="1:6" s="936" customFormat="1" ht="13.5" thickBot="1" x14ac:dyDescent="0.25">
      <c r="A51" s="825"/>
      <c r="B51" s="825"/>
      <c r="C51" s="825"/>
      <c r="D51" s="825"/>
      <c r="E51" s="825"/>
      <c r="F51" s="826"/>
    </row>
    <row r="52" spans="1:6" s="936" customFormat="1" ht="34.5" customHeight="1" thickBot="1" x14ac:dyDescent="0.25">
      <c r="A52" s="937" t="s">
        <v>548</v>
      </c>
      <c r="B52" s="1478" t="s">
        <v>541</v>
      </c>
      <c r="C52" s="1478"/>
      <c r="D52" s="1478"/>
      <c r="E52" s="1478"/>
      <c r="F52" s="812" t="s">
        <v>512</v>
      </c>
    </row>
    <row r="53" spans="1:6" s="936" customFormat="1" x14ac:dyDescent="0.2">
      <c r="A53" s="1479" t="s">
        <v>537</v>
      </c>
      <c r="B53" s="1479"/>
      <c r="C53" s="1479"/>
      <c r="D53" s="1479"/>
      <c r="E53" s="1479"/>
      <c r="F53" s="1480"/>
    </row>
    <row r="54" spans="1:6" s="936" customFormat="1" x14ac:dyDescent="0.2">
      <c r="A54" s="1476" t="s">
        <v>357</v>
      </c>
      <c r="B54" s="1476"/>
      <c r="C54" s="1476"/>
      <c r="D54" s="1476"/>
      <c r="E54" s="1476"/>
      <c r="F54" s="1477"/>
    </row>
    <row r="55" spans="1:6" s="936" customFormat="1" ht="38.25" x14ac:dyDescent="0.2">
      <c r="A55" s="813">
        <v>11950</v>
      </c>
      <c r="B55" s="814" t="s">
        <v>538</v>
      </c>
      <c r="C55" s="815" t="s">
        <v>539</v>
      </c>
      <c r="D55" s="816">
        <v>4</v>
      </c>
      <c r="E55" s="817">
        <v>0.18</v>
      </c>
      <c r="F55" s="818">
        <f>E55*D55</f>
        <v>0.72</v>
      </c>
    </row>
    <row r="56" spans="1:6" s="936" customFormat="1" ht="25.5" x14ac:dyDescent="0.2">
      <c r="A56" s="813">
        <v>34723</v>
      </c>
      <c r="B56" s="814" t="s">
        <v>540</v>
      </c>
      <c r="C56" s="815" t="s">
        <v>512</v>
      </c>
      <c r="D56" s="816">
        <v>1</v>
      </c>
      <c r="E56" s="817">
        <v>693</v>
      </c>
      <c r="F56" s="818">
        <f>E56*D56</f>
        <v>693</v>
      </c>
    </row>
    <row r="57" spans="1:6" s="936" customFormat="1" x14ac:dyDescent="0.2">
      <c r="A57" s="813"/>
      <c r="B57" s="814"/>
      <c r="C57" s="815"/>
      <c r="D57" s="816"/>
      <c r="E57" s="817"/>
      <c r="F57" s="818"/>
    </row>
    <row r="58" spans="1:6" s="936" customFormat="1" x14ac:dyDescent="0.2">
      <c r="A58" s="1475" t="s">
        <v>359</v>
      </c>
      <c r="B58" s="1475"/>
      <c r="C58" s="1475"/>
      <c r="D58" s="1475"/>
      <c r="E58" s="1475"/>
      <c r="F58" s="824">
        <f>SUM(F55:F57)</f>
        <v>693.72</v>
      </c>
    </row>
    <row r="59" spans="1:6" s="936" customFormat="1" x14ac:dyDescent="0.2">
      <c r="A59" s="1476" t="s">
        <v>358</v>
      </c>
      <c r="B59" s="1476"/>
      <c r="C59" s="1476"/>
      <c r="D59" s="1476"/>
      <c r="E59" s="1476"/>
      <c r="F59" s="1477"/>
    </row>
    <row r="60" spans="1:6" s="936" customFormat="1" x14ac:dyDescent="0.2">
      <c r="A60" s="819">
        <v>88316</v>
      </c>
      <c r="B60" s="820" t="s">
        <v>298</v>
      </c>
      <c r="C60" s="821" t="s">
        <v>195</v>
      </c>
      <c r="D60" s="822">
        <v>0.4</v>
      </c>
      <c r="E60" s="1002">
        <v>14.37</v>
      </c>
      <c r="F60" s="823">
        <f>E60*D60</f>
        <v>5.75</v>
      </c>
    </row>
    <row r="61" spans="1:6" s="936" customFormat="1" x14ac:dyDescent="0.2">
      <c r="A61" s="1475" t="s">
        <v>359</v>
      </c>
      <c r="B61" s="1475"/>
      <c r="C61" s="1475"/>
      <c r="D61" s="1475"/>
      <c r="E61" s="1475"/>
      <c r="F61" s="824">
        <f>SUM(F60:F60)</f>
        <v>5.75</v>
      </c>
    </row>
    <row r="62" spans="1:6" s="936" customFormat="1" x14ac:dyDescent="0.2">
      <c r="A62" s="1475" t="s">
        <v>530</v>
      </c>
      <c r="B62" s="1475"/>
      <c r="C62" s="1475"/>
      <c r="D62" s="1475"/>
      <c r="E62" s="1475"/>
      <c r="F62" s="824">
        <f>F61+F58</f>
        <v>699.47</v>
      </c>
    </row>
    <row r="63" spans="1:6" s="936" customFormat="1" ht="13.5" thickBot="1" x14ac:dyDescent="0.25">
      <c r="A63" s="986"/>
      <c r="B63" s="986"/>
      <c r="C63" s="986"/>
      <c r="D63" s="986"/>
      <c r="E63" s="986"/>
      <c r="F63" s="987"/>
    </row>
    <row r="64" spans="1:6" s="936" customFormat="1" ht="34.5" customHeight="1" thickBot="1" x14ac:dyDescent="0.25">
      <c r="A64" s="937" t="s">
        <v>708</v>
      </c>
      <c r="B64" s="1478" t="s">
        <v>522</v>
      </c>
      <c r="C64" s="1478"/>
      <c r="D64" s="1478"/>
      <c r="E64" s="1478"/>
      <c r="F64" s="812" t="s">
        <v>709</v>
      </c>
    </row>
    <row r="65" spans="1:6" s="936" customFormat="1" x14ac:dyDescent="0.2">
      <c r="A65" s="1479" t="s">
        <v>537</v>
      </c>
      <c r="B65" s="1479"/>
      <c r="C65" s="1479"/>
      <c r="D65" s="1479"/>
      <c r="E65" s="1479"/>
      <c r="F65" s="1480"/>
    </row>
    <row r="66" spans="1:6" s="936" customFormat="1" x14ac:dyDescent="0.2">
      <c r="A66" s="1476" t="s">
        <v>357</v>
      </c>
      <c r="B66" s="1476"/>
      <c r="C66" s="1476"/>
      <c r="D66" s="1476"/>
      <c r="E66" s="1476"/>
      <c r="F66" s="1477"/>
    </row>
    <row r="67" spans="1:6" s="936" customFormat="1" ht="38.25" x14ac:dyDescent="0.2">
      <c r="A67" s="813">
        <v>11950</v>
      </c>
      <c r="B67" s="814" t="s">
        <v>538</v>
      </c>
      <c r="C67" s="815" t="s">
        <v>539</v>
      </c>
      <c r="D67" s="816">
        <v>4</v>
      </c>
      <c r="E67" s="817">
        <v>0.18</v>
      </c>
      <c r="F67" s="818">
        <f>E67*D67</f>
        <v>0.72</v>
      </c>
    </row>
    <row r="68" spans="1:6" s="936" customFormat="1" ht="25.5" x14ac:dyDescent="0.2">
      <c r="A68" s="813">
        <v>13521</v>
      </c>
      <c r="B68" s="814" t="s">
        <v>710</v>
      </c>
      <c r="C68" s="815" t="s">
        <v>539</v>
      </c>
      <c r="D68" s="816">
        <v>2</v>
      </c>
      <c r="E68" s="817">
        <v>99</v>
      </c>
      <c r="F68" s="818">
        <f>E68*D68</f>
        <v>198</v>
      </c>
    </row>
    <row r="69" spans="1:6" s="936" customFormat="1" x14ac:dyDescent="0.2">
      <c r="A69" s="813"/>
      <c r="B69" s="814"/>
      <c r="C69" s="815"/>
      <c r="D69" s="816"/>
      <c r="E69" s="817"/>
      <c r="F69" s="818"/>
    </row>
    <row r="70" spans="1:6" s="936" customFormat="1" x14ac:dyDescent="0.2">
      <c r="A70" s="1475" t="s">
        <v>359</v>
      </c>
      <c r="B70" s="1475"/>
      <c r="C70" s="1475"/>
      <c r="D70" s="1475"/>
      <c r="E70" s="1475"/>
      <c r="F70" s="824">
        <f>SUM(F67:F69)</f>
        <v>198.72</v>
      </c>
    </row>
    <row r="71" spans="1:6" s="936" customFormat="1" x14ac:dyDescent="0.2">
      <c r="A71" s="1476" t="s">
        <v>358</v>
      </c>
      <c r="B71" s="1476"/>
      <c r="C71" s="1476"/>
      <c r="D71" s="1476"/>
      <c r="E71" s="1476"/>
      <c r="F71" s="1477"/>
    </row>
    <row r="72" spans="1:6" s="936" customFormat="1" x14ac:dyDescent="0.2">
      <c r="A72" s="819">
        <v>88316</v>
      </c>
      <c r="B72" s="820" t="s">
        <v>298</v>
      </c>
      <c r="C72" s="821" t="s">
        <v>195</v>
      </c>
      <c r="D72" s="822">
        <v>0.4</v>
      </c>
      <c r="E72" s="1002">
        <v>14.37</v>
      </c>
      <c r="F72" s="823">
        <f>E72*D72</f>
        <v>5.75</v>
      </c>
    </row>
    <row r="73" spans="1:6" s="936" customFormat="1" x14ac:dyDescent="0.2">
      <c r="A73" s="1475" t="s">
        <v>359</v>
      </c>
      <c r="B73" s="1475"/>
      <c r="C73" s="1475"/>
      <c r="D73" s="1475"/>
      <c r="E73" s="1475"/>
      <c r="F73" s="824">
        <f>SUM(F72:F72)</f>
        <v>5.75</v>
      </c>
    </row>
    <row r="74" spans="1:6" s="936" customFormat="1" x14ac:dyDescent="0.2">
      <c r="A74" s="1475" t="s">
        <v>530</v>
      </c>
      <c r="B74" s="1475"/>
      <c r="C74" s="1475"/>
      <c r="D74" s="1475"/>
      <c r="E74" s="1475"/>
      <c r="F74" s="824">
        <f>F73+F70</f>
        <v>204.47</v>
      </c>
    </row>
    <row r="75" spans="1:6" s="936" customFormat="1" ht="13.5" thickBot="1" x14ac:dyDescent="0.25">
      <c r="A75" s="986"/>
      <c r="B75" s="986"/>
      <c r="C75" s="986"/>
      <c r="D75" s="986"/>
      <c r="E75" s="986"/>
      <c r="F75" s="987"/>
    </row>
    <row r="76" spans="1:6" s="936" customFormat="1" ht="34.5" customHeight="1" thickBot="1" x14ac:dyDescent="0.25">
      <c r="A76" s="937" t="s">
        <v>549</v>
      </c>
      <c r="B76" s="1478" t="s">
        <v>54</v>
      </c>
      <c r="C76" s="1478"/>
      <c r="D76" s="1478"/>
      <c r="E76" s="1478"/>
      <c r="F76" s="812" t="s">
        <v>514</v>
      </c>
    </row>
    <row r="77" spans="1:6" s="936" customFormat="1" x14ac:dyDescent="0.2">
      <c r="A77" s="1479" t="s">
        <v>711</v>
      </c>
      <c r="B77" s="1479"/>
      <c r="C77" s="1479"/>
      <c r="D77" s="1479"/>
      <c r="E77" s="1479"/>
      <c r="F77" s="1480"/>
    </row>
    <row r="78" spans="1:6" s="936" customFormat="1" x14ac:dyDescent="0.2">
      <c r="A78" s="1476" t="s">
        <v>357</v>
      </c>
      <c r="B78" s="1476"/>
      <c r="C78" s="1476"/>
      <c r="D78" s="1476"/>
      <c r="E78" s="1476"/>
      <c r="F78" s="1477"/>
    </row>
    <row r="79" spans="1:6" s="936" customFormat="1" ht="38.25" x14ac:dyDescent="0.2">
      <c r="A79" s="813">
        <v>939</v>
      </c>
      <c r="B79" s="814" t="s">
        <v>712</v>
      </c>
      <c r="C79" s="815" t="s">
        <v>514</v>
      </c>
      <c r="D79" s="816">
        <v>0.3</v>
      </c>
      <c r="E79" s="817">
        <v>1.5</v>
      </c>
      <c r="F79" s="818">
        <f>E79*D79</f>
        <v>0.45</v>
      </c>
    </row>
    <row r="80" spans="1:6" s="936" customFormat="1" ht="25.5" x14ac:dyDescent="0.2">
      <c r="A80" s="813">
        <v>2705</v>
      </c>
      <c r="B80" s="814" t="s">
        <v>713</v>
      </c>
      <c r="C80" s="815" t="s">
        <v>714</v>
      </c>
      <c r="D80" s="816">
        <v>0.2</v>
      </c>
      <c r="E80" s="817">
        <v>0.81</v>
      </c>
      <c r="F80" s="818">
        <f t="shared" ref="F80:F83" si="2">E80*D80</f>
        <v>0.16</v>
      </c>
    </row>
    <row r="81" spans="1:9" s="936" customFormat="1" ht="25.5" x14ac:dyDescent="0.2">
      <c r="A81" s="813">
        <v>3753</v>
      </c>
      <c r="B81" s="814" t="s">
        <v>715</v>
      </c>
      <c r="C81" s="815" t="s">
        <v>539</v>
      </c>
      <c r="D81" s="816">
        <v>1</v>
      </c>
      <c r="E81" s="817">
        <v>5.16</v>
      </c>
      <c r="F81" s="818">
        <f t="shared" si="2"/>
        <v>5.16</v>
      </c>
    </row>
    <row r="82" spans="1:9" s="936" customFormat="1" x14ac:dyDescent="0.2">
      <c r="A82" s="813">
        <v>4815</v>
      </c>
      <c r="B82" s="814" t="s">
        <v>716</v>
      </c>
      <c r="C82" s="815" t="s">
        <v>539</v>
      </c>
      <c r="D82" s="816">
        <v>1</v>
      </c>
      <c r="E82" s="817">
        <v>5.0599999999999996</v>
      </c>
      <c r="F82" s="818">
        <f t="shared" si="2"/>
        <v>5.0599999999999996</v>
      </c>
    </row>
    <row r="83" spans="1:9" s="936" customFormat="1" ht="25.5" x14ac:dyDescent="0.2">
      <c r="A83" s="813">
        <v>12294</v>
      </c>
      <c r="B83" s="814" t="s">
        <v>717</v>
      </c>
      <c r="C83" s="815"/>
      <c r="D83" s="816">
        <v>1</v>
      </c>
      <c r="E83" s="817">
        <v>8.2100000000000009</v>
      </c>
      <c r="F83" s="818">
        <f t="shared" si="2"/>
        <v>8.2100000000000009</v>
      </c>
    </row>
    <row r="84" spans="1:9" s="936" customFormat="1" x14ac:dyDescent="0.2">
      <c r="A84" s="813"/>
      <c r="B84" s="814"/>
      <c r="C84" s="815"/>
      <c r="D84" s="816"/>
      <c r="E84" s="817"/>
      <c r="F84" s="818"/>
    </row>
    <row r="85" spans="1:9" s="936" customFormat="1" x14ac:dyDescent="0.2">
      <c r="A85" s="1475" t="s">
        <v>359</v>
      </c>
      <c r="B85" s="1475"/>
      <c r="C85" s="1475"/>
      <c r="D85" s="1475"/>
      <c r="E85" s="1475"/>
      <c r="F85" s="824">
        <f>SUM(F79:F84)</f>
        <v>19.04</v>
      </c>
    </row>
    <row r="86" spans="1:9" s="936" customFormat="1" x14ac:dyDescent="0.2">
      <c r="A86" s="1476" t="s">
        <v>358</v>
      </c>
      <c r="B86" s="1476"/>
      <c r="C86" s="1476"/>
      <c r="D86" s="1476"/>
      <c r="E86" s="1476"/>
      <c r="F86" s="1477"/>
    </row>
    <row r="87" spans="1:9" s="936" customFormat="1" x14ac:dyDescent="0.2">
      <c r="A87" s="989">
        <v>88264</v>
      </c>
      <c r="B87" s="988" t="s">
        <v>718</v>
      </c>
      <c r="C87" s="989" t="s">
        <v>195</v>
      </c>
      <c r="D87" s="1000">
        <v>0.05</v>
      </c>
      <c r="E87" s="989">
        <v>18.38</v>
      </c>
      <c r="F87" s="823">
        <f>E87*D87</f>
        <v>0.92</v>
      </c>
    </row>
    <row r="88" spans="1:9" s="936" customFormat="1" x14ac:dyDescent="0.2">
      <c r="A88" s="819">
        <v>88316</v>
      </c>
      <c r="B88" s="820" t="s">
        <v>298</v>
      </c>
      <c r="C88" s="821" t="s">
        <v>195</v>
      </c>
      <c r="D88" s="822">
        <v>0.05</v>
      </c>
      <c r="E88" s="822">
        <v>14.37</v>
      </c>
      <c r="F88" s="823">
        <f>E88*D88</f>
        <v>0.72</v>
      </c>
    </row>
    <row r="89" spans="1:9" s="936" customFormat="1" x14ac:dyDescent="0.2">
      <c r="A89" s="1475" t="s">
        <v>359</v>
      </c>
      <c r="B89" s="1475"/>
      <c r="C89" s="1475"/>
      <c r="D89" s="1475"/>
      <c r="E89" s="1475"/>
      <c r="F89" s="824">
        <f>SUM(F87:F88)</f>
        <v>1.64</v>
      </c>
    </row>
    <row r="90" spans="1:9" s="936" customFormat="1" x14ac:dyDescent="0.2">
      <c r="A90" s="1475" t="s">
        <v>530</v>
      </c>
      <c r="B90" s="1475"/>
      <c r="C90" s="1475"/>
      <c r="D90" s="1475"/>
      <c r="E90" s="1475"/>
      <c r="F90" s="990">
        <f>F89+F85</f>
        <v>20.68</v>
      </c>
    </row>
    <row r="91" spans="1:9" s="936" customFormat="1" ht="13.5" thickBot="1" x14ac:dyDescent="0.25">
      <c r="A91" s="986"/>
      <c r="B91" s="986"/>
      <c r="C91" s="986"/>
      <c r="D91" s="986"/>
      <c r="E91" s="986"/>
      <c r="F91" s="987"/>
    </row>
    <row r="92" spans="1:9" s="936" customFormat="1" ht="34.5" customHeight="1" thickBot="1" x14ac:dyDescent="0.25">
      <c r="A92" s="937" t="s">
        <v>719</v>
      </c>
      <c r="B92" s="1478" t="s">
        <v>720</v>
      </c>
      <c r="C92" s="1478"/>
      <c r="D92" s="1478"/>
      <c r="E92" s="1478"/>
      <c r="F92" s="998" t="s">
        <v>539</v>
      </c>
      <c r="G92" s="997"/>
      <c r="H92" s="997"/>
      <c r="I92" s="997"/>
    </row>
    <row r="93" spans="1:9" s="936" customFormat="1" x14ac:dyDescent="0.2">
      <c r="A93" s="1479" t="s">
        <v>721</v>
      </c>
      <c r="B93" s="1479"/>
      <c r="C93" s="1479"/>
      <c r="D93" s="1479"/>
      <c r="E93" s="1479"/>
      <c r="F93" s="1480"/>
    </row>
    <row r="94" spans="1:9" s="936" customFormat="1" ht="13.5" thickBot="1" x14ac:dyDescent="0.25">
      <c r="A94" s="1476" t="s">
        <v>357</v>
      </c>
      <c r="B94" s="1476"/>
      <c r="C94" s="1476"/>
      <c r="D94" s="1476"/>
      <c r="E94" s="1476"/>
      <c r="F94" s="1477"/>
    </row>
    <row r="95" spans="1:9" s="936" customFormat="1" ht="39" thickBot="1" x14ac:dyDescent="0.25">
      <c r="A95" s="813">
        <v>11301</v>
      </c>
      <c r="B95" s="814" t="s">
        <v>722</v>
      </c>
      <c r="C95" s="999" t="s">
        <v>539</v>
      </c>
      <c r="D95" s="816">
        <v>1</v>
      </c>
      <c r="E95" s="817">
        <v>406.18</v>
      </c>
      <c r="F95" s="818">
        <f>E95*D95</f>
        <v>406.18</v>
      </c>
    </row>
    <row r="96" spans="1:9" s="936" customFormat="1" ht="51" x14ac:dyDescent="0.2">
      <c r="A96" s="813">
        <v>87316</v>
      </c>
      <c r="B96" s="814" t="s">
        <v>723</v>
      </c>
      <c r="C96" s="815" t="s">
        <v>613</v>
      </c>
      <c r="D96" s="816">
        <v>0.01</v>
      </c>
      <c r="E96" s="817">
        <v>298.38</v>
      </c>
      <c r="F96" s="818">
        <f t="shared" ref="F96" si="3">E96*D96</f>
        <v>2.98</v>
      </c>
    </row>
    <row r="97" spans="1:9" s="936" customFormat="1" x14ac:dyDescent="0.2">
      <c r="A97" s="813"/>
      <c r="B97" s="814"/>
      <c r="C97" s="815"/>
      <c r="D97" s="816"/>
      <c r="E97" s="817"/>
      <c r="F97" s="818"/>
    </row>
    <row r="98" spans="1:9" s="936" customFormat="1" x14ac:dyDescent="0.2">
      <c r="A98" s="1475" t="s">
        <v>359</v>
      </c>
      <c r="B98" s="1475"/>
      <c r="C98" s="1475"/>
      <c r="D98" s="1475"/>
      <c r="E98" s="1475"/>
      <c r="F98" s="824">
        <f>SUM(F95:F97)</f>
        <v>409.16</v>
      </c>
    </row>
    <row r="99" spans="1:9" s="936" customFormat="1" x14ac:dyDescent="0.2">
      <c r="A99" s="1476" t="s">
        <v>358</v>
      </c>
      <c r="B99" s="1476"/>
      <c r="C99" s="1476"/>
      <c r="D99" s="1476"/>
      <c r="E99" s="1476"/>
      <c r="F99" s="1477"/>
    </row>
    <row r="100" spans="1:9" s="936" customFormat="1" x14ac:dyDescent="0.2">
      <c r="A100" s="989">
        <v>88309</v>
      </c>
      <c r="B100" s="988" t="s">
        <v>724</v>
      </c>
      <c r="C100" s="989" t="s">
        <v>195</v>
      </c>
      <c r="D100" s="822">
        <v>2</v>
      </c>
      <c r="E100" s="1001">
        <v>17.760000000000002</v>
      </c>
      <c r="F100" s="823">
        <f>E100*D100</f>
        <v>35.520000000000003</v>
      </c>
    </row>
    <row r="101" spans="1:9" s="936" customFormat="1" x14ac:dyDescent="0.2">
      <c r="A101" s="819">
        <v>88316</v>
      </c>
      <c r="B101" s="820" t="s">
        <v>298</v>
      </c>
      <c r="C101" s="821" t="s">
        <v>195</v>
      </c>
      <c r="D101" s="822">
        <v>2</v>
      </c>
      <c r="E101" s="1002">
        <v>14.37</v>
      </c>
      <c r="F101" s="823">
        <f>E101*D101</f>
        <v>28.74</v>
      </c>
    </row>
    <row r="102" spans="1:9" s="936" customFormat="1" x14ac:dyDescent="0.2">
      <c r="A102" s="1475" t="s">
        <v>359</v>
      </c>
      <c r="B102" s="1475"/>
      <c r="C102" s="1475"/>
      <c r="D102" s="1475"/>
      <c r="E102" s="1475"/>
      <c r="F102" s="824">
        <f>SUM(F100:F101)</f>
        <v>64.260000000000005</v>
      </c>
    </row>
    <row r="103" spans="1:9" s="936" customFormat="1" x14ac:dyDescent="0.2">
      <c r="A103" s="1475" t="s">
        <v>530</v>
      </c>
      <c r="B103" s="1475"/>
      <c r="C103" s="1475"/>
      <c r="D103" s="1475"/>
      <c r="E103" s="1475"/>
      <c r="F103" s="990">
        <f>F102+F98</f>
        <v>473.42</v>
      </c>
    </row>
    <row r="104" spans="1:9" s="936" customFormat="1" ht="13.5" thickBot="1" x14ac:dyDescent="0.25">
      <c r="A104" s="986"/>
      <c r="B104" s="986"/>
      <c r="C104" s="986"/>
      <c r="D104" s="986"/>
      <c r="E104" s="986"/>
      <c r="F104" s="987"/>
    </row>
    <row r="105" spans="1:9" s="936" customFormat="1" ht="34.5" customHeight="1" thickBot="1" x14ac:dyDescent="0.25">
      <c r="A105" s="937" t="s">
        <v>725</v>
      </c>
      <c r="B105" s="1478" t="s">
        <v>102</v>
      </c>
      <c r="C105" s="1478"/>
      <c r="D105" s="1478"/>
      <c r="E105" s="1478"/>
      <c r="F105" s="998" t="s">
        <v>35</v>
      </c>
      <c r="G105" s="997"/>
      <c r="H105" s="997"/>
      <c r="I105" s="997"/>
    </row>
    <row r="106" spans="1:9" s="936" customFormat="1" x14ac:dyDescent="0.2">
      <c r="A106" s="1479" t="s">
        <v>726</v>
      </c>
      <c r="B106" s="1479"/>
      <c r="C106" s="1479"/>
      <c r="D106" s="1479"/>
      <c r="E106" s="1479"/>
      <c r="F106" s="1480"/>
    </row>
    <row r="107" spans="1:9" s="936" customFormat="1" ht="13.5" thickBot="1" x14ac:dyDescent="0.25">
      <c r="A107" s="1476" t="s">
        <v>357</v>
      </c>
      <c r="B107" s="1476"/>
      <c r="C107" s="1476"/>
      <c r="D107" s="1476"/>
      <c r="E107" s="1476"/>
      <c r="F107" s="1477"/>
    </row>
    <row r="108" spans="1:9" s="936" customFormat="1" ht="39" thickBot="1" x14ac:dyDescent="0.25">
      <c r="A108" s="813">
        <v>4417</v>
      </c>
      <c r="B108" s="814" t="s">
        <v>524</v>
      </c>
      <c r="C108" s="999" t="s">
        <v>514</v>
      </c>
      <c r="D108" s="816">
        <v>1</v>
      </c>
      <c r="E108" s="817">
        <v>3.02</v>
      </c>
      <c r="F108" s="818">
        <f>E108*D108</f>
        <v>3.02</v>
      </c>
    </row>
    <row r="109" spans="1:9" s="936" customFormat="1" ht="38.25" x14ac:dyDescent="0.2">
      <c r="A109" s="813">
        <v>4491</v>
      </c>
      <c r="B109" s="814" t="s">
        <v>727</v>
      </c>
      <c r="C109" s="815" t="s">
        <v>514</v>
      </c>
      <c r="D109" s="816">
        <v>4</v>
      </c>
      <c r="E109" s="817">
        <v>5.63</v>
      </c>
      <c r="F109" s="818">
        <f t="shared" ref="F109:F112" si="4">E109*D109</f>
        <v>22.52</v>
      </c>
    </row>
    <row r="110" spans="1:9" s="936" customFormat="1" ht="25.5" x14ac:dyDescent="0.2">
      <c r="A110" s="813">
        <v>4813</v>
      </c>
      <c r="B110" s="814" t="s">
        <v>728</v>
      </c>
      <c r="C110" s="815" t="s">
        <v>35</v>
      </c>
      <c r="D110" s="816">
        <v>1</v>
      </c>
      <c r="E110" s="817">
        <v>300</v>
      </c>
      <c r="F110" s="818">
        <f t="shared" si="4"/>
        <v>300</v>
      </c>
    </row>
    <row r="111" spans="1:9" s="936" customFormat="1" x14ac:dyDescent="0.2">
      <c r="A111" s="813">
        <v>5075</v>
      </c>
      <c r="B111" s="814" t="s">
        <v>729</v>
      </c>
      <c r="C111" s="815" t="s">
        <v>730</v>
      </c>
      <c r="D111" s="816">
        <v>0.11</v>
      </c>
      <c r="E111" s="817">
        <v>11.18</v>
      </c>
      <c r="F111" s="818">
        <f t="shared" si="4"/>
        <v>1.23</v>
      </c>
    </row>
    <row r="112" spans="1:9" s="936" customFormat="1" ht="38.25" x14ac:dyDescent="0.2">
      <c r="A112" s="813">
        <v>94962</v>
      </c>
      <c r="B112" s="814" t="s">
        <v>731</v>
      </c>
      <c r="C112" s="815" t="s">
        <v>613</v>
      </c>
      <c r="D112" s="816">
        <v>0.01</v>
      </c>
      <c r="E112" s="817">
        <v>255.77</v>
      </c>
      <c r="F112" s="818">
        <f t="shared" si="4"/>
        <v>2.56</v>
      </c>
    </row>
    <row r="113" spans="1:6" s="936" customFormat="1" x14ac:dyDescent="0.2">
      <c r="A113" s="813"/>
      <c r="B113" s="814"/>
      <c r="C113" s="815"/>
      <c r="D113" s="816"/>
      <c r="E113" s="817"/>
      <c r="F113" s="818"/>
    </row>
    <row r="114" spans="1:6" s="936" customFormat="1" x14ac:dyDescent="0.2">
      <c r="A114" s="1475" t="s">
        <v>359</v>
      </c>
      <c r="B114" s="1475"/>
      <c r="C114" s="1475"/>
      <c r="D114" s="1475"/>
      <c r="E114" s="1475"/>
      <c r="F114" s="824">
        <f>SUM(F108:F113)</f>
        <v>329.33</v>
      </c>
    </row>
    <row r="115" spans="1:6" s="936" customFormat="1" x14ac:dyDescent="0.2">
      <c r="A115" s="1476" t="s">
        <v>358</v>
      </c>
      <c r="B115" s="1476"/>
      <c r="C115" s="1476"/>
      <c r="D115" s="1476"/>
      <c r="E115" s="1476"/>
      <c r="F115" s="1477"/>
    </row>
    <row r="116" spans="1:6" s="936" customFormat="1" x14ac:dyDescent="0.2">
      <c r="A116" s="989">
        <v>88262</v>
      </c>
      <c r="B116" s="988" t="s">
        <v>528</v>
      </c>
      <c r="C116" s="989" t="s">
        <v>195</v>
      </c>
      <c r="D116" s="822">
        <v>1</v>
      </c>
      <c r="E116" s="1001">
        <v>17.64</v>
      </c>
      <c r="F116" s="823">
        <f>E116*D116</f>
        <v>17.64</v>
      </c>
    </row>
    <row r="117" spans="1:6" s="936" customFormat="1" x14ac:dyDescent="0.2">
      <c r="A117" s="819">
        <v>88316</v>
      </c>
      <c r="B117" s="820" t="s">
        <v>298</v>
      </c>
      <c r="C117" s="821" t="s">
        <v>195</v>
      </c>
      <c r="D117" s="822">
        <v>2</v>
      </c>
      <c r="E117" s="1002">
        <v>14.37</v>
      </c>
      <c r="F117" s="823">
        <f>E117*D117</f>
        <v>28.74</v>
      </c>
    </row>
    <row r="118" spans="1:6" s="936" customFormat="1" x14ac:dyDescent="0.2">
      <c r="A118" s="1475" t="s">
        <v>359</v>
      </c>
      <c r="B118" s="1475"/>
      <c r="C118" s="1475"/>
      <c r="D118" s="1475"/>
      <c r="E118" s="1475"/>
      <c r="F118" s="824">
        <f>SUM(F116:F117)</f>
        <v>46.38</v>
      </c>
    </row>
    <row r="119" spans="1:6" s="936" customFormat="1" x14ac:dyDescent="0.2">
      <c r="A119" s="1475" t="s">
        <v>530</v>
      </c>
      <c r="B119" s="1475"/>
      <c r="C119" s="1475"/>
      <c r="D119" s="1475"/>
      <c r="E119" s="1475"/>
      <c r="F119" s="990">
        <f>F118+F114</f>
        <v>375.71</v>
      </c>
    </row>
    <row r="120" spans="1:6" s="936" customFormat="1" x14ac:dyDescent="0.2">
      <c r="A120" s="986"/>
      <c r="B120" s="986"/>
      <c r="C120" s="986"/>
      <c r="D120" s="986"/>
      <c r="E120" s="986"/>
      <c r="F120" s="987"/>
    </row>
    <row r="121" spans="1:6" s="936" customFormat="1" x14ac:dyDescent="0.2">
      <c r="A121" s="825"/>
      <c r="B121" s="825"/>
      <c r="C121" s="825"/>
      <c r="D121" s="825"/>
      <c r="E121" s="825"/>
      <c r="F121" s="826"/>
    </row>
    <row r="122" spans="1:6" s="936" customFormat="1" x14ac:dyDescent="0.2">
      <c r="A122" s="195"/>
      <c r="B122" s="827"/>
      <c r="C122" s="196"/>
      <c r="D122" s="196"/>
      <c r="E122" s="196"/>
      <c r="F122" s="196"/>
    </row>
    <row r="123" spans="1:6" s="936" customFormat="1" x14ac:dyDescent="0.2">
      <c r="A123" s="195"/>
      <c r="B123" s="828" t="str">
        <f>Orçam.!B74</f>
        <v>Robson Darcio Sousa</v>
      </c>
      <c r="C123" s="196"/>
      <c r="D123" s="196"/>
      <c r="E123" s="196"/>
      <c r="F123" s="196"/>
    </row>
    <row r="124" spans="1:6" s="936" customFormat="1" x14ac:dyDescent="0.2">
      <c r="A124" s="195"/>
      <c r="B124" s="828" t="str">
        <f>Orçam.!B75</f>
        <v>ENGº CIVIL</v>
      </c>
      <c r="C124" s="196"/>
      <c r="D124" s="196"/>
      <c r="E124" s="196"/>
      <c r="F124" s="196"/>
    </row>
    <row r="125" spans="1:6" s="936" customFormat="1" x14ac:dyDescent="0.2">
      <c r="A125" s="195"/>
      <c r="B125" s="828" t="str">
        <f>Orçam.!B76</f>
        <v>Crea: 120.263.916-0</v>
      </c>
      <c r="C125" s="196"/>
      <c r="D125" s="196"/>
      <c r="E125" s="196"/>
      <c r="F125" s="196"/>
    </row>
  </sheetData>
  <mergeCells count="51">
    <mergeCell ref="A107:F107"/>
    <mergeCell ref="A114:E114"/>
    <mergeCell ref="A115:F115"/>
    <mergeCell ref="A118:E118"/>
    <mergeCell ref="A119:E119"/>
    <mergeCell ref="A102:E102"/>
    <mergeCell ref="A103:E103"/>
    <mergeCell ref="B105:E105"/>
    <mergeCell ref="A106:F106"/>
    <mergeCell ref="B92:E92"/>
    <mergeCell ref="A93:F93"/>
    <mergeCell ref="A94:F94"/>
    <mergeCell ref="A98:E98"/>
    <mergeCell ref="A99:F99"/>
    <mergeCell ref="A1:F1"/>
    <mergeCell ref="A2:F2"/>
    <mergeCell ref="A54:F54"/>
    <mergeCell ref="A58:E58"/>
    <mergeCell ref="A59:F59"/>
    <mergeCell ref="A45:F45"/>
    <mergeCell ref="A49:E49"/>
    <mergeCell ref="A50:E50"/>
    <mergeCell ref="A7:F7"/>
    <mergeCell ref="B3:F3"/>
    <mergeCell ref="D4:E4"/>
    <mergeCell ref="D5:F6"/>
    <mergeCell ref="A62:E62"/>
    <mergeCell ref="B8:E8"/>
    <mergeCell ref="A9:F9"/>
    <mergeCell ref="A61:E61"/>
    <mergeCell ref="B22:E22"/>
    <mergeCell ref="B38:E38"/>
    <mergeCell ref="A39:F39"/>
    <mergeCell ref="B52:E52"/>
    <mergeCell ref="A53:F53"/>
    <mergeCell ref="A40:F40"/>
    <mergeCell ref="A44:E44"/>
    <mergeCell ref="B64:E64"/>
    <mergeCell ref="A65:F65"/>
    <mergeCell ref="A66:F66"/>
    <mergeCell ref="A70:E70"/>
    <mergeCell ref="A71:F71"/>
    <mergeCell ref="A85:E85"/>
    <mergeCell ref="A86:F86"/>
    <mergeCell ref="A89:E89"/>
    <mergeCell ref="A90:E90"/>
    <mergeCell ref="A73:E73"/>
    <mergeCell ref="A74:E74"/>
    <mergeCell ref="B76:E76"/>
    <mergeCell ref="A77:F77"/>
    <mergeCell ref="A78:F78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/>
  <dimension ref="A1:G30"/>
  <sheetViews>
    <sheetView view="pageBreakPreview" zoomScale="112" zoomScaleSheetLayoutView="112" workbookViewId="0">
      <selection activeCell="B18" sqref="B18"/>
    </sheetView>
  </sheetViews>
  <sheetFormatPr defaultColWidth="9.140625" defaultRowHeight="12.75" x14ac:dyDescent="0.2"/>
  <cols>
    <col min="1" max="1" width="14.140625" style="450" customWidth="1"/>
    <col min="2" max="2" width="63.5703125" style="418" customWidth="1"/>
    <col min="3" max="3" width="9.140625" style="418"/>
    <col min="4" max="4" width="18.42578125" style="418" customWidth="1"/>
    <col min="5" max="5" width="10.42578125" style="418" customWidth="1"/>
    <col min="6" max="6" width="12.140625" style="418" customWidth="1"/>
    <col min="7" max="16384" width="9.140625" style="418"/>
  </cols>
  <sheetData>
    <row r="1" spans="1:7" ht="15.75" x14ac:dyDescent="0.2">
      <c r="A1" s="1047" t="str">
        <f>Terrap.!A1</f>
        <v>ESTADO DE MATO GROSSO</v>
      </c>
      <c r="B1" s="1048"/>
      <c r="C1" s="1048"/>
      <c r="D1" s="1048"/>
      <c r="E1" s="1048"/>
      <c r="F1" s="1048"/>
      <c r="G1" s="1048"/>
    </row>
    <row r="2" spans="1:7" ht="15.75" x14ac:dyDescent="0.2">
      <c r="A2" s="1050" t="str">
        <f>Terrap.!A2</f>
        <v xml:space="preserve">PREFEITURA MUNICIPAL DE BARRA DO BUGRES </v>
      </c>
      <c r="B2" s="1051"/>
      <c r="C2" s="1051"/>
      <c r="D2" s="1051"/>
      <c r="E2" s="1051"/>
      <c r="F2" s="1051"/>
      <c r="G2" s="1051"/>
    </row>
    <row r="3" spans="1:7" ht="15" x14ac:dyDescent="0.2">
      <c r="A3" s="413" t="s">
        <v>56</v>
      </c>
      <c r="B3" s="1251" t="str">
        <f>Terrap.!B3</f>
        <v xml:space="preserve">PAVIMENTAÇÃO ASFALTICA E DRENAGEM DE AGUAS PLUVIAIS </v>
      </c>
      <c r="C3" s="1430"/>
      <c r="D3" s="1431"/>
      <c r="E3" s="1162" t="s">
        <v>60</v>
      </c>
      <c r="F3" s="1162"/>
      <c r="G3" s="397">
        <f>Terrap.!F6</f>
        <v>0.25640000000000002</v>
      </c>
    </row>
    <row r="4" spans="1:7" ht="15" x14ac:dyDescent="0.2">
      <c r="A4" s="413" t="s">
        <v>57</v>
      </c>
      <c r="B4" s="1251" t="str">
        <f>Terrap.!B4</f>
        <v>DIVERSAS RUAS - PERIMETRO URBANO</v>
      </c>
      <c r="C4" s="1430"/>
      <c r="D4" s="1431"/>
      <c r="E4" s="1134" t="str">
        <f>Terrap.!I3</f>
        <v>SINAPI - JULHO / 2020    DESONERADO                                                                                                                           SICRO 10/2019</v>
      </c>
      <c r="F4" s="1135"/>
      <c r="G4" s="1135"/>
    </row>
    <row r="5" spans="1:7" ht="15" x14ac:dyDescent="0.2">
      <c r="A5" s="413" t="s">
        <v>58</v>
      </c>
      <c r="B5" s="396" t="str">
        <f>Terrap.!B5</f>
        <v xml:space="preserve">PREFEITURA MUNICIPAL DE BARRA DO BUGRES </v>
      </c>
      <c r="C5" s="387" t="s">
        <v>362</v>
      </c>
      <c r="D5" s="409" t="str">
        <f>Terrap.!F5</f>
        <v>AGOSTO 2020</v>
      </c>
      <c r="E5" s="1137"/>
      <c r="F5" s="1138"/>
      <c r="G5" s="1138"/>
    </row>
    <row r="6" spans="1:7" ht="15.75" thickBot="1" x14ac:dyDescent="0.25">
      <c r="A6" s="451" t="s">
        <v>59</v>
      </c>
      <c r="B6" s="1432">
        <f>Terrap.!B6</f>
        <v>31131.72</v>
      </c>
      <c r="C6" s="1434"/>
      <c r="D6" s="389" t="s">
        <v>61</v>
      </c>
      <c r="E6" s="1140"/>
      <c r="F6" s="1141"/>
      <c r="G6" s="1141"/>
    </row>
    <row r="7" spans="1:7" x14ac:dyDescent="0.2">
      <c r="A7" s="1500" t="s">
        <v>365</v>
      </c>
      <c r="B7" s="1501"/>
      <c r="C7" s="1501"/>
      <c r="D7" s="1501"/>
      <c r="E7" s="1501"/>
      <c r="F7" s="1501"/>
      <c r="G7" s="1502"/>
    </row>
    <row r="8" spans="1:7" ht="13.5" thickBot="1" x14ac:dyDescent="0.25">
      <c r="A8" s="1503"/>
      <c r="B8" s="1504"/>
      <c r="C8" s="1504"/>
      <c r="D8" s="1504"/>
      <c r="E8" s="1504"/>
      <c r="F8" s="1504"/>
      <c r="G8" s="1505"/>
    </row>
    <row r="9" spans="1:7" ht="15.75" thickBot="1" x14ac:dyDescent="0.25">
      <c r="A9" s="1495"/>
      <c r="B9" s="1496"/>
      <c r="C9" s="1496"/>
      <c r="D9" s="1496"/>
      <c r="E9" s="1496"/>
      <c r="F9" s="1496"/>
      <c r="G9" s="1496"/>
    </row>
    <row r="10" spans="1:7" ht="36" customHeight="1" x14ac:dyDescent="0.2">
      <c r="A10" s="446" t="s">
        <v>340</v>
      </c>
      <c r="B10" s="1497" t="s">
        <v>341</v>
      </c>
      <c r="C10" s="1498"/>
      <c r="D10" s="1498"/>
      <c r="E10" s="1498"/>
      <c r="F10" s="1499"/>
      <c r="G10" s="452" t="s">
        <v>49</v>
      </c>
    </row>
    <row r="11" spans="1:7" ht="15" x14ac:dyDescent="0.2">
      <c r="A11" s="453" t="s">
        <v>293</v>
      </c>
      <c r="B11" s="421" t="s">
        <v>342</v>
      </c>
      <c r="C11" s="422"/>
      <c r="D11" s="422"/>
      <c r="E11" s="423"/>
      <c r="F11" s="435"/>
      <c r="G11" s="440"/>
    </row>
    <row r="12" spans="1:7" s="450" customFormat="1" ht="15" x14ac:dyDescent="0.2">
      <c r="A12" s="447" t="s">
        <v>353</v>
      </c>
      <c r="B12" s="427" t="s">
        <v>366</v>
      </c>
      <c r="C12" s="427" t="s">
        <v>184</v>
      </c>
      <c r="D12" s="428" t="s">
        <v>185</v>
      </c>
      <c r="E12" s="427" t="s">
        <v>186</v>
      </c>
      <c r="F12" s="427" t="s">
        <v>187</v>
      </c>
      <c r="G12" s="454"/>
    </row>
    <row r="13" spans="1:7" ht="15" x14ac:dyDescent="0.2">
      <c r="A13" s="433">
        <v>90780</v>
      </c>
      <c r="B13" s="424" t="s">
        <v>348</v>
      </c>
      <c r="C13" s="365" t="s">
        <v>199</v>
      </c>
      <c r="D13" s="429">
        <v>29.76</v>
      </c>
      <c r="E13" s="367">
        <v>25.12</v>
      </c>
      <c r="F13" s="367">
        <f>E13*D13</f>
        <v>747.57</v>
      </c>
      <c r="G13" s="440"/>
    </row>
    <row r="14" spans="1:7" ht="15" x14ac:dyDescent="0.2">
      <c r="A14" s="447"/>
      <c r="B14" s="426" t="s">
        <v>200</v>
      </c>
      <c r="C14" s="426"/>
      <c r="D14" s="430"/>
      <c r="E14" s="426"/>
      <c r="F14" s="436">
        <f>F13</f>
        <v>747.57</v>
      </c>
      <c r="G14" s="440"/>
    </row>
    <row r="15" spans="1:7" ht="15" x14ac:dyDescent="0.2">
      <c r="A15" s="433"/>
      <c r="B15" s="424"/>
      <c r="C15" s="424"/>
      <c r="D15" s="425"/>
      <c r="E15" s="424"/>
      <c r="F15" s="424"/>
      <c r="G15" s="440"/>
    </row>
    <row r="16" spans="1:7" ht="15" x14ac:dyDescent="0.2">
      <c r="A16" s="447" t="s">
        <v>353</v>
      </c>
      <c r="B16" s="426" t="s">
        <v>201</v>
      </c>
      <c r="C16" s="427" t="s">
        <v>184</v>
      </c>
      <c r="D16" s="428" t="s">
        <v>185</v>
      </c>
      <c r="E16" s="426" t="s">
        <v>186</v>
      </c>
      <c r="F16" s="426" t="s">
        <v>187</v>
      </c>
      <c r="G16" s="440"/>
    </row>
    <row r="17" spans="1:7" ht="15" x14ac:dyDescent="0.2">
      <c r="A17" s="433" t="s">
        <v>343</v>
      </c>
      <c r="B17" s="431" t="s">
        <v>344</v>
      </c>
      <c r="C17" s="365" t="s">
        <v>31</v>
      </c>
      <c r="D17" s="432">
        <v>1.5960000000000001</v>
      </c>
      <c r="E17" s="367">
        <v>523.39</v>
      </c>
      <c r="F17" s="367">
        <f t="shared" ref="F17:F22" si="0">D17*E17</f>
        <v>835.33</v>
      </c>
      <c r="G17" s="440"/>
    </row>
    <row r="18" spans="1:7" ht="75" x14ac:dyDescent="0.2">
      <c r="A18" s="433">
        <v>84219</v>
      </c>
      <c r="B18" s="441" t="s">
        <v>349</v>
      </c>
      <c r="C18" s="365" t="s">
        <v>6</v>
      </c>
      <c r="D18" s="432">
        <v>5.32</v>
      </c>
      <c r="E18" s="442">
        <v>26.22</v>
      </c>
      <c r="F18" s="367">
        <f t="shared" si="0"/>
        <v>139.49</v>
      </c>
      <c r="G18" s="440"/>
    </row>
    <row r="19" spans="1:7" ht="30" x14ac:dyDescent="0.2">
      <c r="A19" s="433">
        <v>83519</v>
      </c>
      <c r="B19" s="431" t="s">
        <v>351</v>
      </c>
      <c r="C19" s="365" t="s">
        <v>31</v>
      </c>
      <c r="D19" s="432">
        <v>2.82</v>
      </c>
      <c r="E19" s="367">
        <v>389.94</v>
      </c>
      <c r="F19" s="367">
        <f t="shared" si="0"/>
        <v>1099.6300000000001</v>
      </c>
      <c r="G19" s="440"/>
    </row>
    <row r="20" spans="1:7" ht="30" x14ac:dyDescent="0.2">
      <c r="A20" s="434">
        <v>73406</v>
      </c>
      <c r="B20" s="364" t="s">
        <v>350</v>
      </c>
      <c r="C20" s="365" t="s">
        <v>31</v>
      </c>
      <c r="D20" s="366">
        <v>1.5960000000000001</v>
      </c>
      <c r="E20" s="367">
        <v>411.9</v>
      </c>
      <c r="F20" s="367">
        <f t="shared" si="0"/>
        <v>657.39</v>
      </c>
      <c r="G20" s="440"/>
    </row>
    <row r="21" spans="1:7" ht="90" x14ac:dyDescent="0.2">
      <c r="A21" s="443">
        <v>87901</v>
      </c>
      <c r="B21" s="441" t="s">
        <v>352</v>
      </c>
      <c r="C21" s="365" t="s">
        <v>6</v>
      </c>
      <c r="D21" s="366">
        <v>28.2</v>
      </c>
      <c r="E21" s="444">
        <v>5.0199999999999996</v>
      </c>
      <c r="F21" s="367">
        <f t="shared" si="0"/>
        <v>141.56</v>
      </c>
      <c r="G21" s="440"/>
    </row>
    <row r="22" spans="1:7" ht="45" x14ac:dyDescent="0.2">
      <c r="A22" s="434">
        <v>84072</v>
      </c>
      <c r="B22" s="364" t="s">
        <v>346</v>
      </c>
      <c r="C22" s="365" t="s">
        <v>6</v>
      </c>
      <c r="D22" s="366">
        <v>14.1</v>
      </c>
      <c r="E22" s="367">
        <v>24.41</v>
      </c>
      <c r="F22" s="367">
        <f t="shared" si="0"/>
        <v>344.18</v>
      </c>
      <c r="G22" s="440"/>
    </row>
    <row r="23" spans="1:7" ht="15" x14ac:dyDescent="0.2">
      <c r="A23" s="434"/>
      <c r="B23" s="364"/>
      <c r="C23" s="365"/>
      <c r="D23" s="366"/>
      <c r="E23" s="367"/>
      <c r="F23" s="437"/>
      <c r="G23" s="440"/>
    </row>
    <row r="24" spans="1:7" ht="15" x14ac:dyDescent="0.2">
      <c r="A24" s="447"/>
      <c r="B24" s="426" t="s">
        <v>205</v>
      </c>
      <c r="C24" s="426"/>
      <c r="D24" s="426"/>
      <c r="E24" s="426"/>
      <c r="F24" s="436">
        <f>SUM(F17:F22)</f>
        <v>3217.58</v>
      </c>
      <c r="G24" s="440"/>
    </row>
    <row r="25" spans="1:7" ht="15" x14ac:dyDescent="0.2">
      <c r="A25" s="447"/>
      <c r="B25" s="426" t="s">
        <v>345</v>
      </c>
      <c r="C25" s="426"/>
      <c r="D25" s="426"/>
      <c r="E25" s="426"/>
      <c r="F25" s="436">
        <f>F14</f>
        <v>747.57</v>
      </c>
      <c r="G25" s="440"/>
    </row>
    <row r="26" spans="1:7" ht="15.75" thickBot="1" x14ac:dyDescent="0.25">
      <c r="A26" s="448"/>
      <c r="B26" s="438" t="s">
        <v>208</v>
      </c>
      <c r="C26" s="438"/>
      <c r="D26" s="438"/>
      <c r="E26" s="438"/>
      <c r="F26" s="439">
        <f>F24+F25</f>
        <v>3965.15</v>
      </c>
      <c r="G26" s="445"/>
    </row>
    <row r="27" spans="1:7" x14ac:dyDescent="0.2">
      <c r="A27" s="449"/>
      <c r="B27" s="360"/>
      <c r="C27" s="379"/>
      <c r="D27" s="361"/>
      <c r="E27" s="362"/>
      <c r="F27" s="363"/>
    </row>
    <row r="29" spans="1:7" x14ac:dyDescent="0.2">
      <c r="B29" s="418" t="str">
        <f>Terrap.!B26</f>
        <v>Robson Darcio Sousa</v>
      </c>
    </row>
    <row r="30" spans="1:7" x14ac:dyDescent="0.2">
      <c r="B30" s="418" t="str">
        <f>Terrap.!B27</f>
        <v>ENGº CIVIL</v>
      </c>
    </row>
  </sheetData>
  <mergeCells count="10">
    <mergeCell ref="A9:G9"/>
    <mergeCell ref="B3:D3"/>
    <mergeCell ref="B4:D4"/>
    <mergeCell ref="B10:F10"/>
    <mergeCell ref="A1:G1"/>
    <mergeCell ref="A2:G2"/>
    <mergeCell ref="E3:F3"/>
    <mergeCell ref="E4:G6"/>
    <mergeCell ref="B6:C6"/>
    <mergeCell ref="A7:G8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/>
  <dimension ref="A1:R57"/>
  <sheetViews>
    <sheetView view="pageBreakPreview" topLeftCell="B1" zoomScaleSheetLayoutView="100" workbookViewId="0">
      <selection activeCell="N36" sqref="N36:O36"/>
    </sheetView>
  </sheetViews>
  <sheetFormatPr defaultRowHeight="12.75" x14ac:dyDescent="0.2"/>
  <cols>
    <col min="1" max="1" width="10" style="46" bestFit="1" customWidth="1"/>
    <col min="2" max="2" width="29.42578125" style="4" customWidth="1"/>
    <col min="3" max="3" width="8" style="46" bestFit="1" customWidth="1"/>
    <col min="4" max="4" width="12.140625" style="46" customWidth="1"/>
    <col min="5" max="5" width="8.5703125" style="46" customWidth="1"/>
    <col min="6" max="6" width="8.28515625" style="26" customWidth="1"/>
    <col min="7" max="7" width="14" style="26" customWidth="1"/>
    <col min="8" max="8" width="12" style="26" bestFit="1" customWidth="1"/>
    <col min="9" max="9" width="14.28515625" style="26" bestFit="1" customWidth="1"/>
    <col min="10" max="10" width="9.28515625" style="26" bestFit="1" customWidth="1"/>
    <col min="11" max="11" width="12.28515625" style="26" bestFit="1" customWidth="1"/>
    <col min="12" max="12" width="9.28515625" style="26" bestFit="1" customWidth="1"/>
    <col min="13" max="13" width="11.42578125" style="26" customWidth="1"/>
    <col min="14" max="14" width="9.28515625" style="26" bestFit="1" customWidth="1"/>
    <col min="15" max="15" width="11.7109375" style="26" customWidth="1"/>
    <col min="16" max="16" width="11.85546875" style="55" customWidth="1"/>
    <col min="17" max="18" width="11.85546875" style="46" customWidth="1"/>
    <col min="19" max="27" width="11.85546875" customWidth="1"/>
  </cols>
  <sheetData>
    <row r="1" spans="1:18" x14ac:dyDescent="0.2">
      <c r="A1" s="47" t="s">
        <v>55</v>
      </c>
      <c r="B1" s="47"/>
      <c r="C1" s="47"/>
      <c r="D1" s="47"/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8" x14ac:dyDescent="0.2">
      <c r="A2" s="47" t="s">
        <v>255</v>
      </c>
      <c r="B2" s="49"/>
      <c r="C2" s="49"/>
      <c r="D2" s="49"/>
      <c r="E2" s="49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8" x14ac:dyDescent="0.2">
      <c r="A3" s="52" t="s">
        <v>8</v>
      </c>
      <c r="B3" s="52" t="s">
        <v>223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8" x14ac:dyDescent="0.2">
      <c r="A4" s="52" t="s">
        <v>22</v>
      </c>
      <c r="B4" s="52" t="s">
        <v>244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8" x14ac:dyDescent="0.2">
      <c r="A5" s="52" t="s">
        <v>58</v>
      </c>
      <c r="B5" s="52" t="s">
        <v>255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8" ht="13.5" thickBo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8" x14ac:dyDescent="0.2">
      <c r="A7" s="1506"/>
      <c r="B7" s="1508" t="s">
        <v>20</v>
      </c>
      <c r="C7" s="1510" t="s">
        <v>15</v>
      </c>
      <c r="D7" s="56" t="s">
        <v>256</v>
      </c>
      <c r="E7" s="56"/>
      <c r="F7" s="1514" t="s">
        <v>257</v>
      </c>
      <c r="G7" s="1515"/>
      <c r="H7" s="1515"/>
      <c r="I7" s="1515"/>
      <c r="J7" s="1515"/>
      <c r="K7" s="1515"/>
      <c r="L7" s="1514" t="s">
        <v>257</v>
      </c>
      <c r="M7" s="1515"/>
      <c r="N7" s="1515"/>
      <c r="O7" s="1515"/>
      <c r="P7" s="57"/>
    </row>
    <row r="8" spans="1:18" ht="13.5" thickBot="1" x14ac:dyDescent="0.25">
      <c r="A8" s="1507"/>
      <c r="B8" s="1509"/>
      <c r="C8" s="1511"/>
      <c r="D8" s="58" t="s">
        <v>258</v>
      </c>
      <c r="E8" s="58"/>
      <c r="F8" s="1512">
        <v>30</v>
      </c>
      <c r="G8" s="1512"/>
      <c r="H8" s="1513">
        <f>F8+30</f>
        <v>60</v>
      </c>
      <c r="I8" s="1513"/>
      <c r="J8" s="1513">
        <f t="shared" ref="J8" si="0">H8+30</f>
        <v>90</v>
      </c>
      <c r="K8" s="1513"/>
      <c r="L8" s="1513">
        <f t="shared" ref="L8" si="1">J8+30</f>
        <v>120</v>
      </c>
      <c r="M8" s="1513"/>
      <c r="N8" s="1513">
        <f t="shared" ref="N8" si="2">L8+30</f>
        <v>150</v>
      </c>
      <c r="O8" s="1513"/>
      <c r="P8" s="59" t="s">
        <v>129</v>
      </c>
    </row>
    <row r="9" spans="1:18" x14ac:dyDescent="0.2">
      <c r="A9" s="60"/>
      <c r="B9" s="61"/>
      <c r="C9" s="62"/>
      <c r="D9" s="62"/>
      <c r="E9" s="62"/>
      <c r="F9" s="63" t="s">
        <v>259</v>
      </c>
      <c r="G9" s="63" t="s">
        <v>156</v>
      </c>
      <c r="H9" s="63" t="s">
        <v>259</v>
      </c>
      <c r="I9" s="63" t="s">
        <v>156</v>
      </c>
      <c r="J9" s="63" t="s">
        <v>259</v>
      </c>
      <c r="K9" s="63" t="s">
        <v>156</v>
      </c>
      <c r="L9" s="63" t="s">
        <v>259</v>
      </c>
      <c r="M9" s="63" t="s">
        <v>156</v>
      </c>
      <c r="N9" s="63" t="s">
        <v>259</v>
      </c>
      <c r="O9" s="63" t="s">
        <v>156</v>
      </c>
      <c r="P9" s="64" t="s">
        <v>260</v>
      </c>
    </row>
    <row r="10" spans="1:18" x14ac:dyDescent="0.2">
      <c r="A10" s="1518">
        <f>Resumo!A10</f>
        <v>1</v>
      </c>
      <c r="B10" s="1519" t="str">
        <f>Resumo!B10</f>
        <v>SERVIÇOS PRELIMINARES</v>
      </c>
      <c r="C10" s="1517" t="e">
        <f>(D10/$D$38)*100</f>
        <v>#REF!</v>
      </c>
      <c r="D10" s="1517">
        <f>Resumo!E10</f>
        <v>86773.52</v>
      </c>
      <c r="E10" s="65" t="s">
        <v>15</v>
      </c>
      <c r="F10" s="1516">
        <v>70</v>
      </c>
      <c r="G10" s="1516"/>
      <c r="H10" s="1516">
        <v>30</v>
      </c>
      <c r="I10" s="1516"/>
      <c r="J10" s="1516">
        <v>0</v>
      </c>
      <c r="K10" s="1516"/>
      <c r="L10" s="1516">
        <v>0</v>
      </c>
      <c r="M10" s="1516"/>
      <c r="N10" s="1516">
        <v>0</v>
      </c>
      <c r="O10" s="1516"/>
      <c r="P10" s="66">
        <f t="shared" ref="P10:P35" si="3">SUM(F10:O10)</f>
        <v>100</v>
      </c>
    </row>
    <row r="11" spans="1:18" x14ac:dyDescent="0.2">
      <c r="A11" s="1518"/>
      <c r="B11" s="1519"/>
      <c r="C11" s="1517"/>
      <c r="D11" s="1517"/>
      <c r="E11" s="67" t="s">
        <v>261</v>
      </c>
      <c r="F11" s="68" t="e">
        <f>($D$10*F10/100)*$G$57</f>
        <v>#REF!</v>
      </c>
      <c r="G11" s="68" t="e">
        <f>D10*F10/100*$H$57</f>
        <v>#REF!</v>
      </c>
      <c r="H11" s="68" t="e">
        <f>D10*H10/100*$G$57</f>
        <v>#REF!</v>
      </c>
      <c r="I11" s="68" t="e">
        <f>D10*H10/100*$H$57</f>
        <v>#REF!</v>
      </c>
      <c r="J11" s="68" t="e">
        <f>D10*J10/100*$G$57</f>
        <v>#REF!</v>
      </c>
      <c r="K11" s="68" t="e">
        <f>D10*J10/100*$H$57</f>
        <v>#REF!</v>
      </c>
      <c r="L11" s="68" t="e">
        <f>D10*L10/100*$G$57</f>
        <v>#REF!</v>
      </c>
      <c r="M11" s="68" t="e">
        <f>D10*L10/100*$H$57</f>
        <v>#REF!</v>
      </c>
      <c r="N11" s="68" t="e">
        <f>D10*N10/100*$G$57</f>
        <v>#REF!</v>
      </c>
      <c r="O11" s="68" t="e">
        <f>D10*N10/100*$H$57</f>
        <v>#REF!</v>
      </c>
      <c r="P11" s="66" t="e">
        <f t="shared" si="3"/>
        <v>#REF!</v>
      </c>
      <c r="R11" s="69" t="e">
        <f>D10-P11</f>
        <v>#REF!</v>
      </c>
    </row>
    <row r="12" spans="1:18" x14ac:dyDescent="0.2">
      <c r="A12" s="1518" t="e">
        <f>Resumo!#REF!</f>
        <v>#REF!</v>
      </c>
      <c r="B12" s="1519" t="e">
        <f>Resumo!#REF!</f>
        <v>#REF!</v>
      </c>
      <c r="C12" s="1517" t="e">
        <f>(D12/$D$38)*100</f>
        <v>#REF!</v>
      </c>
      <c r="D12" s="1517" t="e">
        <f>Resumo!#REF!</f>
        <v>#REF!</v>
      </c>
      <c r="E12" s="65" t="s">
        <v>15</v>
      </c>
      <c r="F12" s="1516">
        <v>20</v>
      </c>
      <c r="G12" s="1516"/>
      <c r="H12" s="1516">
        <v>20</v>
      </c>
      <c r="I12" s="1516"/>
      <c r="J12" s="1516">
        <v>20</v>
      </c>
      <c r="K12" s="1516"/>
      <c r="L12" s="1516">
        <v>20</v>
      </c>
      <c r="M12" s="1516"/>
      <c r="N12" s="1516">
        <v>20</v>
      </c>
      <c r="O12" s="1516"/>
      <c r="P12" s="66">
        <f t="shared" si="3"/>
        <v>100</v>
      </c>
      <c r="R12" s="69"/>
    </row>
    <row r="13" spans="1:18" x14ac:dyDescent="0.2">
      <c r="A13" s="1518"/>
      <c r="B13" s="1519"/>
      <c r="C13" s="1517"/>
      <c r="D13" s="1517"/>
      <c r="E13" s="67" t="s">
        <v>261</v>
      </c>
      <c r="F13" s="68" t="e">
        <f>($D$12*F12/100)*$G$57</f>
        <v>#REF!</v>
      </c>
      <c r="G13" s="68" t="e">
        <f>D12*F12/100*$H$57</f>
        <v>#REF!</v>
      </c>
      <c r="H13" s="68" t="e">
        <f>D12*H12/100*$G$57</f>
        <v>#REF!</v>
      </c>
      <c r="I13" s="68" t="e">
        <f>D12*H12/100*$H$57</f>
        <v>#REF!</v>
      </c>
      <c r="J13" s="68" t="e">
        <f>D12*J12/100*$G$57</f>
        <v>#REF!</v>
      </c>
      <c r="K13" s="68" t="e">
        <f>D12*J12/100*$H$57</f>
        <v>#REF!</v>
      </c>
      <c r="L13" s="68" t="e">
        <f>D12*L12/100*$G$57</f>
        <v>#REF!</v>
      </c>
      <c r="M13" s="68" t="e">
        <f>D12*L12/100*$H$57</f>
        <v>#REF!</v>
      </c>
      <c r="N13" s="68" t="e">
        <f>D12*N12/100*$G$57</f>
        <v>#REF!</v>
      </c>
      <c r="O13" s="68" t="e">
        <f>D12*N12/100*$H$57</f>
        <v>#REF!</v>
      </c>
      <c r="P13" s="66" t="e">
        <f t="shared" si="3"/>
        <v>#REF!</v>
      </c>
      <c r="R13" s="69" t="e">
        <f>D12-P13</f>
        <v>#REF!</v>
      </c>
    </row>
    <row r="14" spans="1:18" x14ac:dyDescent="0.2">
      <c r="A14" s="1518">
        <f>Resumo!A12</f>
        <v>2</v>
      </c>
      <c r="B14" s="1519" t="str">
        <f>Resumo!B12</f>
        <v>DRENAGEM DE ÁGUAS PLUVIAIS</v>
      </c>
      <c r="C14" s="1517" t="e">
        <f t="shared" ref="C14" si="4">(D14/$D$38)*100</f>
        <v>#REF!</v>
      </c>
      <c r="D14" s="1517"/>
      <c r="E14" s="65"/>
      <c r="F14" s="1516"/>
      <c r="G14" s="1516"/>
      <c r="H14" s="1516"/>
      <c r="I14" s="1516"/>
      <c r="J14" s="1516"/>
      <c r="K14" s="1516"/>
      <c r="L14" s="1516"/>
      <c r="M14" s="1516"/>
      <c r="N14" s="1516"/>
      <c r="O14" s="1516"/>
      <c r="P14" s="66">
        <f t="shared" si="3"/>
        <v>0</v>
      </c>
      <c r="R14" s="69"/>
    </row>
    <row r="15" spans="1:18" x14ac:dyDescent="0.2">
      <c r="A15" s="1518"/>
      <c r="B15" s="1519"/>
      <c r="C15" s="1517"/>
      <c r="D15" s="1517"/>
      <c r="E15" s="67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6">
        <f t="shared" si="3"/>
        <v>0</v>
      </c>
      <c r="R15" s="69"/>
    </row>
    <row r="16" spans="1:18" x14ac:dyDescent="0.2">
      <c r="A16" s="1518" t="e">
        <f>Resumo!#REF!</f>
        <v>#REF!</v>
      </c>
      <c r="B16" s="1519" t="e">
        <f>Resumo!#REF!</f>
        <v>#REF!</v>
      </c>
      <c r="C16" s="1517" t="e">
        <f t="shared" ref="C16" si="5">(D16/$D$38)*100</f>
        <v>#REF!</v>
      </c>
      <c r="D16" s="1517" t="e">
        <f>Resumo!#REF!</f>
        <v>#REF!</v>
      </c>
      <c r="E16" s="65" t="s">
        <v>15</v>
      </c>
      <c r="F16" s="1516">
        <v>20</v>
      </c>
      <c r="G16" s="1516"/>
      <c r="H16" s="1516">
        <v>20</v>
      </c>
      <c r="I16" s="1516"/>
      <c r="J16" s="1516">
        <v>20</v>
      </c>
      <c r="K16" s="1516"/>
      <c r="L16" s="1516">
        <v>20</v>
      </c>
      <c r="M16" s="1516"/>
      <c r="N16" s="1516">
        <v>20</v>
      </c>
      <c r="O16" s="1516"/>
      <c r="P16" s="66">
        <f t="shared" si="3"/>
        <v>100</v>
      </c>
      <c r="R16" s="69"/>
    </row>
    <row r="17" spans="1:18" x14ac:dyDescent="0.2">
      <c r="A17" s="1518"/>
      <c r="B17" s="1519"/>
      <c r="C17" s="1517"/>
      <c r="D17" s="1517"/>
      <c r="E17" s="67" t="s">
        <v>261</v>
      </c>
      <c r="F17" s="68" t="e">
        <f>($D$16*F16/100)*$G$57</f>
        <v>#REF!</v>
      </c>
      <c r="G17" s="68" t="e">
        <f>D16*F16/100*$H$57</f>
        <v>#REF!</v>
      </c>
      <c r="H17" s="68" t="e">
        <f>D16*H16/100*$G$57</f>
        <v>#REF!</v>
      </c>
      <c r="I17" s="68" t="e">
        <f>D16*H16/100*$H$57</f>
        <v>#REF!</v>
      </c>
      <c r="J17" s="68" t="e">
        <f>D16*J16/100*$G$57</f>
        <v>#REF!</v>
      </c>
      <c r="K17" s="68" t="e">
        <f>D16*J16/100*$H$57</f>
        <v>#REF!</v>
      </c>
      <c r="L17" s="68" t="e">
        <f>D16*L16/100*$G$57</f>
        <v>#REF!</v>
      </c>
      <c r="M17" s="68" t="e">
        <f>D16*L16/100*$H$57</f>
        <v>#REF!</v>
      </c>
      <c r="N17" s="68" t="e">
        <f>D16*N16/100*$G$57</f>
        <v>#REF!</v>
      </c>
      <c r="O17" s="68" t="e">
        <f>D16*N16/100*$H$57</f>
        <v>#REF!</v>
      </c>
      <c r="P17" s="66" t="e">
        <f t="shared" si="3"/>
        <v>#REF!</v>
      </c>
      <c r="R17" s="69" t="e">
        <f>D16-P17</f>
        <v>#REF!</v>
      </c>
    </row>
    <row r="18" spans="1:18" x14ac:dyDescent="0.2">
      <c r="A18" s="1518" t="str">
        <f>Resumo!A13</f>
        <v>2.1</v>
      </c>
      <c r="B18" s="1519" t="str">
        <f>Resumo!B13</f>
        <v>MOVIMENTO DE TERRA</v>
      </c>
      <c r="C18" s="1517" t="e">
        <f t="shared" ref="C18" si="6">(D18/$D$38)*100</f>
        <v>#REF!</v>
      </c>
      <c r="D18" s="1517">
        <f>Resumo!E13</f>
        <v>20112.72</v>
      </c>
      <c r="E18" s="65" t="s">
        <v>15</v>
      </c>
      <c r="F18" s="1516">
        <v>20</v>
      </c>
      <c r="G18" s="1516"/>
      <c r="H18" s="1516">
        <v>20</v>
      </c>
      <c r="I18" s="1516"/>
      <c r="J18" s="1516">
        <v>20</v>
      </c>
      <c r="K18" s="1516"/>
      <c r="L18" s="1516">
        <v>20</v>
      </c>
      <c r="M18" s="1516"/>
      <c r="N18" s="1516">
        <v>20</v>
      </c>
      <c r="O18" s="1516"/>
      <c r="P18" s="66">
        <f t="shared" si="3"/>
        <v>100</v>
      </c>
      <c r="R18" s="69"/>
    </row>
    <row r="19" spans="1:18" x14ac:dyDescent="0.2">
      <c r="A19" s="1518"/>
      <c r="B19" s="1519"/>
      <c r="C19" s="1517"/>
      <c r="D19" s="1517"/>
      <c r="E19" s="67" t="s">
        <v>261</v>
      </c>
      <c r="F19" s="68" t="e">
        <f>($D$18*F18/100)*$G$57</f>
        <v>#REF!</v>
      </c>
      <c r="G19" s="68" t="e">
        <f>D18*F18/100*$H$57</f>
        <v>#REF!</v>
      </c>
      <c r="H19" s="68" t="e">
        <f>D18*H18/100*$G$57</f>
        <v>#REF!</v>
      </c>
      <c r="I19" s="68" t="e">
        <f>D18*H18/100*$H$57</f>
        <v>#REF!</v>
      </c>
      <c r="J19" s="68" t="e">
        <f>D18*J18/100*$G$57</f>
        <v>#REF!</v>
      </c>
      <c r="K19" s="68" t="e">
        <f>D18*J18/100*$H$57</f>
        <v>#REF!</v>
      </c>
      <c r="L19" s="68" t="e">
        <f>D18*L18/100*$G$57</f>
        <v>#REF!</v>
      </c>
      <c r="M19" s="68" t="e">
        <f>D18*L18/100*$H$57</f>
        <v>#REF!</v>
      </c>
      <c r="N19" s="68" t="e">
        <f>D18*N18/100*$G$57</f>
        <v>#REF!</v>
      </c>
      <c r="O19" s="68" t="e">
        <f>D18*N18/100*$H$57-0.02</f>
        <v>#REF!</v>
      </c>
      <c r="P19" s="66" t="e">
        <f t="shared" si="3"/>
        <v>#REF!</v>
      </c>
      <c r="R19" s="69" t="e">
        <f>D18-P19</f>
        <v>#REF!</v>
      </c>
    </row>
    <row r="20" spans="1:18" x14ac:dyDescent="0.2">
      <c r="A20" s="1518" t="str">
        <f>Resumo!A14</f>
        <v>2.2</v>
      </c>
      <c r="B20" s="1519" t="str">
        <f>Resumo!B14</f>
        <v>FORNECIMENTO E ASSENTAMENTO DE TUBOS</v>
      </c>
      <c r="C20" s="1517" t="e">
        <f t="shared" ref="C20" si="7">(D20/$D$38)*100</f>
        <v>#REF!</v>
      </c>
      <c r="D20" s="1517">
        <f>Resumo!E14</f>
        <v>72157.820000000007</v>
      </c>
      <c r="E20" s="65" t="s">
        <v>15</v>
      </c>
      <c r="F20" s="1516">
        <v>20</v>
      </c>
      <c r="G20" s="1516"/>
      <c r="H20" s="1516">
        <v>20</v>
      </c>
      <c r="I20" s="1516"/>
      <c r="J20" s="1516">
        <v>20</v>
      </c>
      <c r="K20" s="1516"/>
      <c r="L20" s="1516">
        <v>20</v>
      </c>
      <c r="M20" s="1516"/>
      <c r="N20" s="1516">
        <v>20</v>
      </c>
      <c r="O20" s="1516"/>
      <c r="P20" s="66">
        <f t="shared" si="3"/>
        <v>100</v>
      </c>
      <c r="R20" s="69"/>
    </row>
    <row r="21" spans="1:18" x14ac:dyDescent="0.2">
      <c r="A21" s="1518"/>
      <c r="B21" s="1519"/>
      <c r="C21" s="1517"/>
      <c r="D21" s="1517"/>
      <c r="E21" s="67" t="s">
        <v>261</v>
      </c>
      <c r="F21" s="68" t="e">
        <f>($D$20*F20/100)*$G$57</f>
        <v>#REF!</v>
      </c>
      <c r="G21" s="68" t="e">
        <f>D20*F20/100*$H$57</f>
        <v>#REF!</v>
      </c>
      <c r="H21" s="68" t="e">
        <f>D20*H20/100*$G$57</f>
        <v>#REF!</v>
      </c>
      <c r="I21" s="68" t="e">
        <f>D20*H20/100*$H$57</f>
        <v>#REF!</v>
      </c>
      <c r="J21" s="68" t="e">
        <f>D20*J20/100*$G$57</f>
        <v>#REF!</v>
      </c>
      <c r="K21" s="68" t="e">
        <f>D20*J20/100*$H$57</f>
        <v>#REF!</v>
      </c>
      <c r="L21" s="68" t="e">
        <f>D20*L20/100*$G$57</f>
        <v>#REF!</v>
      </c>
      <c r="M21" s="68" t="e">
        <f>D20*L20/100*$H$57</f>
        <v>#REF!</v>
      </c>
      <c r="N21" s="68" t="e">
        <f>D20*N20/100*$G$57</f>
        <v>#REF!</v>
      </c>
      <c r="O21" s="68" t="e">
        <f>D20*N20/100*$H$57-0.03</f>
        <v>#REF!</v>
      </c>
      <c r="P21" s="66" t="e">
        <f t="shared" si="3"/>
        <v>#REF!</v>
      </c>
      <c r="R21" s="69" t="e">
        <f>D20-P21</f>
        <v>#REF!</v>
      </c>
    </row>
    <row r="22" spans="1:18" x14ac:dyDescent="0.2">
      <c r="A22" s="1518" t="str">
        <f>Resumo!A15</f>
        <v>2.3</v>
      </c>
      <c r="B22" s="1519" t="str">
        <f>Resumo!B15</f>
        <v>ELEMENTOS AUXILIARES</v>
      </c>
      <c r="C22" s="1517" t="e">
        <f t="shared" ref="C22" si="8">(D22/$D$38)*100</f>
        <v>#REF!</v>
      </c>
      <c r="D22" s="1517">
        <f>Resumo!E15</f>
        <v>20433.46</v>
      </c>
      <c r="E22" s="65"/>
      <c r="F22" s="1516">
        <v>20</v>
      </c>
      <c r="G22" s="1516"/>
      <c r="H22" s="1516">
        <v>20</v>
      </c>
      <c r="I22" s="1516"/>
      <c r="J22" s="1516">
        <v>20</v>
      </c>
      <c r="K22" s="1516"/>
      <c r="L22" s="1516">
        <v>20</v>
      </c>
      <c r="M22" s="1516"/>
      <c r="N22" s="1516">
        <v>20</v>
      </c>
      <c r="O22" s="1516"/>
      <c r="P22" s="66">
        <f t="shared" si="3"/>
        <v>100</v>
      </c>
      <c r="R22" s="69"/>
    </row>
    <row r="23" spans="1:18" x14ac:dyDescent="0.2">
      <c r="A23" s="1518"/>
      <c r="B23" s="1519"/>
      <c r="C23" s="1517"/>
      <c r="D23" s="1517"/>
      <c r="E23" s="67"/>
      <c r="F23" s="68" t="e">
        <f>($D$22*F22/100)*$G$57</f>
        <v>#REF!</v>
      </c>
      <c r="G23" s="68" t="e">
        <f>D22*F22/100*$H$57</f>
        <v>#REF!</v>
      </c>
      <c r="H23" s="68" t="e">
        <f>D22*H22/100*$G$57</f>
        <v>#REF!</v>
      </c>
      <c r="I23" s="68" t="e">
        <f>D22*H22/100*$H$57</f>
        <v>#REF!</v>
      </c>
      <c r="J23" s="68" t="e">
        <f>D22*J22/100*$G$57</f>
        <v>#REF!</v>
      </c>
      <c r="K23" s="68" t="e">
        <f>D22*J22/100*$H$57</f>
        <v>#REF!</v>
      </c>
      <c r="L23" s="68" t="e">
        <f>D22*L22/100*$G$57</f>
        <v>#REF!</v>
      </c>
      <c r="M23" s="68" t="e">
        <f>D22*L22/100*$H$57</f>
        <v>#REF!</v>
      </c>
      <c r="N23" s="68" t="e">
        <f>D22*N22/100*$G$57</f>
        <v>#REF!</v>
      </c>
      <c r="O23" s="68" t="e">
        <f>D22*N22/100*$H$57-0.02</f>
        <v>#REF!</v>
      </c>
      <c r="P23" s="66" t="e">
        <f t="shared" si="3"/>
        <v>#REF!</v>
      </c>
      <c r="R23" s="69" t="e">
        <f>D22-P23</f>
        <v>#REF!</v>
      </c>
    </row>
    <row r="24" spans="1:18" x14ac:dyDescent="0.2">
      <c r="A24" s="1518" t="str">
        <f>Resumo!A16</f>
        <v>2.4</v>
      </c>
      <c r="B24" s="1519" t="str">
        <f>Resumo!B16</f>
        <v>SINALIZAÇÃO</v>
      </c>
      <c r="C24" s="1517" t="e">
        <f t="shared" ref="C24:C26" si="9">(D24/$D$38)*100</f>
        <v>#REF!</v>
      </c>
      <c r="D24" s="1517">
        <f>Resumo!E16</f>
        <v>1805.61</v>
      </c>
      <c r="E24" s="65" t="s">
        <v>15</v>
      </c>
      <c r="F24" s="1516">
        <v>20</v>
      </c>
      <c r="G24" s="1516"/>
      <c r="H24" s="1516">
        <v>20</v>
      </c>
      <c r="I24" s="1516"/>
      <c r="J24" s="1516">
        <v>20</v>
      </c>
      <c r="K24" s="1516"/>
      <c r="L24" s="1516">
        <v>20</v>
      </c>
      <c r="M24" s="1516"/>
      <c r="N24" s="1516">
        <v>20</v>
      </c>
      <c r="O24" s="1516"/>
      <c r="P24" s="66">
        <f t="shared" si="3"/>
        <v>100</v>
      </c>
      <c r="R24" s="69"/>
    </row>
    <row r="25" spans="1:18" x14ac:dyDescent="0.2">
      <c r="A25" s="1518"/>
      <c r="B25" s="1519"/>
      <c r="C25" s="1517"/>
      <c r="D25" s="1517"/>
      <c r="E25" s="67" t="s">
        <v>261</v>
      </c>
      <c r="F25" s="68" t="e">
        <f>($D$24*F24/100)*$G$57</f>
        <v>#REF!</v>
      </c>
      <c r="G25" s="68" t="e">
        <f>D24*F24/100*$H$57</f>
        <v>#REF!</v>
      </c>
      <c r="H25" s="68" t="e">
        <f>D24*H24/100*$G$57</f>
        <v>#REF!</v>
      </c>
      <c r="I25" s="68" t="e">
        <f>D24*H24/100*$H$57</f>
        <v>#REF!</v>
      </c>
      <c r="J25" s="68" t="e">
        <f>D24*J24/100*$G$57</f>
        <v>#REF!</v>
      </c>
      <c r="K25" s="68" t="e">
        <f>D24*J24/100*$H$57</f>
        <v>#REF!</v>
      </c>
      <c r="L25" s="68" t="e">
        <f>D24*L24/100*$G$57</f>
        <v>#REF!</v>
      </c>
      <c r="M25" s="68" t="e">
        <f>D24*L24/100*$H$57</f>
        <v>#REF!</v>
      </c>
      <c r="N25" s="68" t="e">
        <f>D24*N24/100*$G$57</f>
        <v>#REF!</v>
      </c>
      <c r="O25" s="68" t="e">
        <f>D24*N24/100*$H$57+0.01</f>
        <v>#REF!</v>
      </c>
      <c r="P25" s="66" t="e">
        <f t="shared" si="3"/>
        <v>#REF!</v>
      </c>
      <c r="R25" s="69" t="e">
        <f>D24-P25</f>
        <v>#REF!</v>
      </c>
    </row>
    <row r="26" spans="1:18" x14ac:dyDescent="0.2">
      <c r="A26" s="1518">
        <f>Resumo!A18</f>
        <v>3</v>
      </c>
      <c r="B26" s="1519" t="str">
        <f>Resumo!B18</f>
        <v>PAVIMENTAÇÃO EM CBUQ</v>
      </c>
      <c r="C26" s="1517" t="e">
        <f t="shared" si="9"/>
        <v>#REF!</v>
      </c>
      <c r="D26" s="1517">
        <f>Resumo!E18</f>
        <v>0</v>
      </c>
      <c r="E26" s="65"/>
      <c r="F26" s="1516"/>
      <c r="G26" s="1516"/>
      <c r="H26" s="1516"/>
      <c r="I26" s="1516"/>
      <c r="J26" s="1516"/>
      <c r="K26" s="1516"/>
      <c r="L26" s="1516"/>
      <c r="M26" s="1516"/>
      <c r="N26" s="1516"/>
      <c r="O26" s="1516"/>
      <c r="P26" s="66">
        <f t="shared" si="3"/>
        <v>0</v>
      </c>
      <c r="R26" s="69"/>
    </row>
    <row r="27" spans="1:18" x14ac:dyDescent="0.2">
      <c r="A27" s="1518"/>
      <c r="B27" s="1519"/>
      <c r="C27" s="1517"/>
      <c r="D27" s="1517"/>
      <c r="E27" s="67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6">
        <f t="shared" si="3"/>
        <v>0</v>
      </c>
      <c r="R27" s="69"/>
    </row>
    <row r="28" spans="1:18" x14ac:dyDescent="0.2">
      <c r="A28" s="1518" t="str">
        <f>Resumo!A19</f>
        <v>3.1</v>
      </c>
      <c r="B28" s="1519" t="str">
        <f>Resumo!B19</f>
        <v>TERRAPLENAGEM</v>
      </c>
      <c r="C28" s="1517" t="e">
        <f t="shared" ref="C28" si="10">(D28/$D$38)*100</f>
        <v>#REF!</v>
      </c>
      <c r="D28" s="1517">
        <f>Resumo!E19</f>
        <v>61855.42</v>
      </c>
      <c r="E28" s="65" t="s">
        <v>15</v>
      </c>
      <c r="F28" s="1516">
        <v>0</v>
      </c>
      <c r="G28" s="1516"/>
      <c r="H28" s="1516">
        <v>25</v>
      </c>
      <c r="I28" s="1516"/>
      <c r="J28" s="1516">
        <v>25</v>
      </c>
      <c r="K28" s="1516"/>
      <c r="L28" s="1516">
        <v>25</v>
      </c>
      <c r="M28" s="1516"/>
      <c r="N28" s="1516">
        <v>25</v>
      </c>
      <c r="O28" s="1516"/>
      <c r="P28" s="66">
        <f t="shared" si="3"/>
        <v>100</v>
      </c>
      <c r="R28" s="69"/>
    </row>
    <row r="29" spans="1:18" x14ac:dyDescent="0.2">
      <c r="A29" s="1518"/>
      <c r="B29" s="1519"/>
      <c r="C29" s="1517"/>
      <c r="D29" s="1517"/>
      <c r="E29" s="67" t="s">
        <v>261</v>
      </c>
      <c r="F29" s="68" t="e">
        <f>($D$28*F28/100)*$G$57</f>
        <v>#REF!</v>
      </c>
      <c r="G29" s="68" t="e">
        <f>D28*F28/100*$H$57</f>
        <v>#REF!</v>
      </c>
      <c r="H29" s="68" t="e">
        <f>D28*H28/100*$G$57</f>
        <v>#REF!</v>
      </c>
      <c r="I29" s="68" t="e">
        <f>D28*H28/100*$H$57</f>
        <v>#REF!</v>
      </c>
      <c r="J29" s="68" t="e">
        <f>D28*J28/100*$G$57</f>
        <v>#REF!</v>
      </c>
      <c r="K29" s="68" t="e">
        <f>D28*J28/100*$H$57</f>
        <v>#REF!</v>
      </c>
      <c r="L29" s="68" t="e">
        <f>D28*L28/100*$G$57</f>
        <v>#REF!</v>
      </c>
      <c r="M29" s="68" t="e">
        <f>D28*L28/100*$H$57</f>
        <v>#REF!</v>
      </c>
      <c r="N29" s="68" t="e">
        <f>D28*N28/100*$G$57</f>
        <v>#REF!</v>
      </c>
      <c r="O29" s="68" t="e">
        <f>D28*N28/100*$H$57-0.01</f>
        <v>#REF!</v>
      </c>
      <c r="P29" s="66" t="e">
        <f t="shared" si="3"/>
        <v>#REF!</v>
      </c>
      <c r="R29" s="69" t="e">
        <f>D28-P29</f>
        <v>#REF!</v>
      </c>
    </row>
    <row r="30" spans="1:18" x14ac:dyDescent="0.2">
      <c r="A30" s="1518" t="str">
        <f>Resumo!A20</f>
        <v>3.2</v>
      </c>
      <c r="B30" s="1519" t="str">
        <f>Resumo!B20</f>
        <v>PAVIMENTAÇÃO</v>
      </c>
      <c r="C30" s="1517" t="e">
        <f t="shared" ref="C30" si="11">(D30/$D$38)*100</f>
        <v>#REF!</v>
      </c>
      <c r="D30" s="1517">
        <f>Resumo!E20</f>
        <v>1897640.16</v>
      </c>
      <c r="E30" s="65"/>
      <c r="F30" s="1516">
        <v>0</v>
      </c>
      <c r="G30" s="1516"/>
      <c r="H30" s="1516">
        <v>25</v>
      </c>
      <c r="I30" s="1516"/>
      <c r="J30" s="1516">
        <v>25</v>
      </c>
      <c r="K30" s="1516"/>
      <c r="L30" s="1516">
        <v>25</v>
      </c>
      <c r="M30" s="1516"/>
      <c r="N30" s="1516">
        <v>25</v>
      </c>
      <c r="O30" s="1516"/>
      <c r="P30" s="66">
        <f t="shared" si="3"/>
        <v>100</v>
      </c>
      <c r="R30" s="69"/>
    </row>
    <row r="31" spans="1:18" x14ac:dyDescent="0.2">
      <c r="A31" s="1518"/>
      <c r="B31" s="1519"/>
      <c r="C31" s="1517"/>
      <c r="D31" s="1517"/>
      <c r="E31" s="67"/>
      <c r="F31" s="68" t="e">
        <f>($D$30*F30/100)*$G$57</f>
        <v>#REF!</v>
      </c>
      <c r="G31" s="68" t="e">
        <f>D30*F30/100*$H$57</f>
        <v>#REF!</v>
      </c>
      <c r="H31" s="68" t="e">
        <f>D30*H30/100*$G$57</f>
        <v>#REF!</v>
      </c>
      <c r="I31" s="68" t="e">
        <f>D30*H30/100*$H$57</f>
        <v>#REF!</v>
      </c>
      <c r="J31" s="68" t="e">
        <f>D30*J30/100*$G$57</f>
        <v>#REF!</v>
      </c>
      <c r="K31" s="68" t="e">
        <f>D30*J30/100*$H$57</f>
        <v>#REF!</v>
      </c>
      <c r="L31" s="68" t="e">
        <f>D30*L30/100*$G$57</f>
        <v>#REF!</v>
      </c>
      <c r="M31" s="68" t="e">
        <f>D30*L30/100*$H$57</f>
        <v>#REF!</v>
      </c>
      <c r="N31" s="68" t="e">
        <f>D30*N30/100*$G$57</f>
        <v>#REF!</v>
      </c>
      <c r="O31" s="68" t="e">
        <f>D30*N30/100*$H$57+0.02</f>
        <v>#REF!</v>
      </c>
      <c r="P31" s="66" t="e">
        <f t="shared" si="3"/>
        <v>#REF!</v>
      </c>
      <c r="R31" s="69" t="e">
        <f>D30-P31</f>
        <v>#REF!</v>
      </c>
    </row>
    <row r="32" spans="1:18" x14ac:dyDescent="0.2">
      <c r="A32" s="1518" t="str">
        <f>Resumo!A21</f>
        <v>3.3</v>
      </c>
      <c r="B32" s="1519" t="str">
        <f>Resumo!B21</f>
        <v>OBRAS COMPLEMENTARES</v>
      </c>
      <c r="C32" s="1517" t="e">
        <f t="shared" ref="C32" si="12">(D32/$D$38)*100</f>
        <v>#REF!</v>
      </c>
      <c r="D32" s="1517">
        <f>Resumo!E21</f>
        <v>433399.93</v>
      </c>
      <c r="E32" s="65" t="s">
        <v>15</v>
      </c>
      <c r="F32" s="1516">
        <v>0</v>
      </c>
      <c r="G32" s="1516"/>
      <c r="H32" s="1516">
        <v>25</v>
      </c>
      <c r="I32" s="1516"/>
      <c r="J32" s="1516">
        <v>25</v>
      </c>
      <c r="K32" s="1516"/>
      <c r="L32" s="1516">
        <v>25</v>
      </c>
      <c r="M32" s="1516"/>
      <c r="N32" s="1516">
        <v>25</v>
      </c>
      <c r="O32" s="1516"/>
      <c r="P32" s="66">
        <f t="shared" si="3"/>
        <v>100</v>
      </c>
      <c r="R32" s="69"/>
    </row>
    <row r="33" spans="1:18" x14ac:dyDescent="0.2">
      <c r="A33" s="1518"/>
      <c r="B33" s="1519"/>
      <c r="C33" s="1517"/>
      <c r="D33" s="1517"/>
      <c r="E33" s="67" t="s">
        <v>261</v>
      </c>
      <c r="F33" s="68" t="e">
        <f>($D$32*F32/100)*$G$57</f>
        <v>#REF!</v>
      </c>
      <c r="G33" s="68" t="e">
        <f>D32*F32/100*$H$57</f>
        <v>#REF!</v>
      </c>
      <c r="H33" s="68" t="e">
        <f>D32*H32/100*$G$57</f>
        <v>#REF!</v>
      </c>
      <c r="I33" s="68" t="e">
        <f>D32*H32/100*$H$57</f>
        <v>#REF!</v>
      </c>
      <c r="J33" s="68" t="e">
        <f>D32*J32/100*$G$57</f>
        <v>#REF!</v>
      </c>
      <c r="K33" s="68" t="e">
        <f>D32*J32/100*$H$57</f>
        <v>#REF!</v>
      </c>
      <c r="L33" s="68" t="e">
        <f>D32*L32/100*$G$57</f>
        <v>#REF!</v>
      </c>
      <c r="M33" s="68" t="e">
        <f>D32*L32/100*$H$57</f>
        <v>#REF!</v>
      </c>
      <c r="N33" s="68" t="e">
        <f>D32*N32/100*$G$57</f>
        <v>#REF!</v>
      </c>
      <c r="O33" s="68" t="e">
        <f>D32*N32/100*$H$57-0.03</f>
        <v>#REF!</v>
      </c>
      <c r="P33" s="66" t="e">
        <f t="shared" si="3"/>
        <v>#REF!</v>
      </c>
      <c r="R33" s="69" t="e">
        <f>D32-P33</f>
        <v>#REF!</v>
      </c>
    </row>
    <row r="34" spans="1:18" x14ac:dyDescent="0.2">
      <c r="A34" s="1518" t="str">
        <f>Resumo!A22</f>
        <v>3.4</v>
      </c>
      <c r="B34" s="1519" t="str">
        <f>Resumo!B22</f>
        <v>SINALIZAÇÃO VIÁRIA</v>
      </c>
      <c r="C34" s="1517" t="e">
        <f t="shared" ref="C34" si="13">(D34/$D$38)*100</f>
        <v>#REF!</v>
      </c>
      <c r="D34" s="1517">
        <f>Resumo!E22</f>
        <v>112349.08</v>
      </c>
      <c r="E34" s="65" t="s">
        <v>15</v>
      </c>
      <c r="F34" s="1516">
        <v>0</v>
      </c>
      <c r="G34" s="1516"/>
      <c r="H34" s="1516">
        <v>0</v>
      </c>
      <c r="I34" s="1516"/>
      <c r="J34" s="1516">
        <v>0</v>
      </c>
      <c r="K34" s="1516"/>
      <c r="L34" s="1516">
        <v>0</v>
      </c>
      <c r="M34" s="1516"/>
      <c r="N34" s="1516">
        <v>100</v>
      </c>
      <c r="O34" s="1516"/>
      <c r="P34" s="66">
        <f t="shared" si="3"/>
        <v>100</v>
      </c>
      <c r="R34" s="69"/>
    </row>
    <row r="35" spans="1:18" x14ac:dyDescent="0.2">
      <c r="A35" s="1518"/>
      <c r="B35" s="1519"/>
      <c r="C35" s="1517"/>
      <c r="D35" s="1517"/>
      <c r="E35" s="67" t="s">
        <v>261</v>
      </c>
      <c r="F35" s="68" t="e">
        <f>($D$34*F34/100)*$G$57</f>
        <v>#REF!</v>
      </c>
      <c r="G35" s="68" t="e">
        <f>D34*F34/100*$H$57</f>
        <v>#REF!</v>
      </c>
      <c r="H35" s="68" t="e">
        <f>D34*H34/100*$G$57</f>
        <v>#REF!</v>
      </c>
      <c r="I35" s="68" t="e">
        <f>D34*H34/100*$H$57</f>
        <v>#REF!</v>
      </c>
      <c r="J35" s="68" t="e">
        <f>D34*J34/100*$G$57</f>
        <v>#REF!</v>
      </c>
      <c r="K35" s="68" t="e">
        <f>D34*J34/100*$H$57</f>
        <v>#REF!</v>
      </c>
      <c r="L35" s="68" t="e">
        <f>D34*L34/100*$G$57</f>
        <v>#REF!</v>
      </c>
      <c r="M35" s="68" t="e">
        <f>D34*L34/100*$H$57</f>
        <v>#REF!</v>
      </c>
      <c r="N35" s="68" t="e">
        <f>D34*N34/100*$G$57</f>
        <v>#REF!</v>
      </c>
      <c r="O35" s="68" t="e">
        <f>D34*N34/100*$H$57</f>
        <v>#REF!</v>
      </c>
      <c r="P35" s="66" t="e">
        <f t="shared" si="3"/>
        <v>#REF!</v>
      </c>
      <c r="R35" s="69" t="e">
        <f>D34-P35</f>
        <v>#REF!</v>
      </c>
    </row>
    <row r="36" spans="1:18" x14ac:dyDescent="0.2">
      <c r="A36" s="1520"/>
      <c r="B36" s="1519"/>
      <c r="C36" s="1517"/>
      <c r="D36" s="1517"/>
      <c r="E36" s="65"/>
      <c r="F36" s="1516"/>
      <c r="G36" s="1516"/>
      <c r="H36" s="1516"/>
      <c r="I36" s="1516"/>
      <c r="J36" s="1516"/>
      <c r="K36" s="1516"/>
      <c r="L36" s="1516"/>
      <c r="M36" s="1516"/>
      <c r="N36" s="1516"/>
      <c r="O36" s="1516"/>
      <c r="P36" s="66"/>
    </row>
    <row r="37" spans="1:18" x14ac:dyDescent="0.2">
      <c r="A37" s="1520"/>
      <c r="B37" s="1519"/>
      <c r="C37" s="1517"/>
      <c r="D37" s="1517"/>
      <c r="E37" s="67"/>
      <c r="F37" s="1522"/>
      <c r="G37" s="1522"/>
      <c r="H37" s="1522"/>
      <c r="I37" s="1522"/>
      <c r="J37" s="1522"/>
      <c r="K37" s="1522"/>
      <c r="L37" s="1522"/>
      <c r="M37" s="1522"/>
      <c r="N37" s="1522"/>
      <c r="O37" s="1522"/>
      <c r="P37" s="66"/>
    </row>
    <row r="38" spans="1:18" x14ac:dyDescent="0.2">
      <c r="A38" s="70" t="s">
        <v>262</v>
      </c>
      <c r="B38" s="71"/>
      <c r="C38" s="1521" t="e">
        <f>SUM(C10:C37)</f>
        <v>#REF!</v>
      </c>
      <c r="D38" s="1521" t="e">
        <f>SUM(D10:D37)</f>
        <v>#REF!</v>
      </c>
      <c r="E38" s="72" t="s">
        <v>263</v>
      </c>
      <c r="F38" s="68" t="e">
        <f t="shared" ref="F38:O38" si="14">F35+F33+F31+F29+F27+F25+F23+F21+F19+F17+F15+F13+F11</f>
        <v>#REF!</v>
      </c>
      <c r="G38" s="68" t="e">
        <f t="shared" si="14"/>
        <v>#REF!</v>
      </c>
      <c r="H38" s="68" t="e">
        <f t="shared" si="14"/>
        <v>#REF!</v>
      </c>
      <c r="I38" s="68" t="e">
        <f t="shared" si="14"/>
        <v>#REF!</v>
      </c>
      <c r="J38" s="68" t="e">
        <f t="shared" si="14"/>
        <v>#REF!</v>
      </c>
      <c r="K38" s="68" t="e">
        <f t="shared" si="14"/>
        <v>#REF!</v>
      </c>
      <c r="L38" s="68" t="e">
        <f t="shared" si="14"/>
        <v>#REF!</v>
      </c>
      <c r="M38" s="68" t="e">
        <f t="shared" si="14"/>
        <v>#REF!</v>
      </c>
      <c r="N38" s="68" t="e">
        <f t="shared" si="14"/>
        <v>#REF!</v>
      </c>
      <c r="O38" s="68" t="e">
        <f t="shared" si="14"/>
        <v>#REF!</v>
      </c>
      <c r="P38" s="1525" t="e">
        <f>+P35+P33+P31+P29+P27+P25+P23+P21+P19+P17+P15+P13+P11</f>
        <v>#REF!</v>
      </c>
    </row>
    <row r="39" spans="1:18" x14ac:dyDescent="0.2">
      <c r="A39" s="70" t="s">
        <v>264</v>
      </c>
      <c r="B39" s="71"/>
      <c r="C39" s="1521"/>
      <c r="D39" s="1521"/>
      <c r="E39" s="72" t="s">
        <v>265</v>
      </c>
      <c r="F39" s="68" t="e">
        <f>F38</f>
        <v>#REF!</v>
      </c>
      <c r="G39" s="68" t="e">
        <f>G38</f>
        <v>#REF!</v>
      </c>
      <c r="H39" s="68" t="e">
        <f>H38+F39</f>
        <v>#REF!</v>
      </c>
      <c r="I39" s="68" t="e">
        <f>G39+I38</f>
        <v>#REF!</v>
      </c>
      <c r="J39" s="68" t="e">
        <f>J38+H39</f>
        <v>#REF!</v>
      </c>
      <c r="K39" s="68" t="e">
        <f>I39+K38</f>
        <v>#REF!</v>
      </c>
      <c r="L39" s="68" t="e">
        <f>L38+J39</f>
        <v>#REF!</v>
      </c>
      <c r="M39" s="68" t="e">
        <f>K39+M38</f>
        <v>#REF!</v>
      </c>
      <c r="N39" s="68" t="e">
        <f>N38+L39</f>
        <v>#REF!</v>
      </c>
      <c r="O39" s="68" t="e">
        <f>M39+O38</f>
        <v>#REF!</v>
      </c>
      <c r="P39" s="1526"/>
    </row>
    <row r="40" spans="1:18" x14ac:dyDescent="0.2">
      <c r="A40" s="73"/>
      <c r="B40" s="74"/>
      <c r="C40" s="75"/>
      <c r="D40" s="75"/>
      <c r="E40" s="76"/>
      <c r="F40" s="1527" t="e">
        <f>F38+G38</f>
        <v>#REF!</v>
      </c>
      <c r="G40" s="1528"/>
      <c r="H40" s="1527" t="e">
        <f>H38+I38</f>
        <v>#REF!</v>
      </c>
      <c r="I40" s="1528"/>
      <c r="J40" s="1527" t="e">
        <f>J38+K38</f>
        <v>#REF!</v>
      </c>
      <c r="K40" s="1528"/>
      <c r="L40" s="1527" t="e">
        <f>L38+M38</f>
        <v>#REF!</v>
      </c>
      <c r="M40" s="1528"/>
      <c r="N40" s="1527" t="e">
        <f>N38+O38</f>
        <v>#REF!</v>
      </c>
      <c r="O40" s="1528"/>
      <c r="P40" s="1523" t="e">
        <f>+N40+L40+J40+H40+F40</f>
        <v>#REF!</v>
      </c>
    </row>
    <row r="41" spans="1:18" ht="13.5" thickBot="1" x14ac:dyDescent="0.25">
      <c r="A41" s="77"/>
      <c r="B41" s="78"/>
      <c r="C41" s="79"/>
      <c r="D41" s="80"/>
      <c r="E41" s="81"/>
      <c r="F41" s="1529"/>
      <c r="G41" s="1529"/>
      <c r="H41" s="1529"/>
      <c r="I41" s="1529"/>
      <c r="J41" s="1529"/>
      <c r="K41" s="1529"/>
      <c r="L41" s="1529"/>
      <c r="M41" s="1529"/>
      <c r="N41" s="1529"/>
      <c r="O41" s="1529"/>
      <c r="P41" s="1524"/>
    </row>
    <row r="42" spans="1:18" x14ac:dyDescent="0.2">
      <c r="D42" s="44"/>
    </row>
    <row r="43" spans="1:18" x14ac:dyDescent="0.2">
      <c r="M43" s="82"/>
    </row>
    <row r="44" spans="1:18" ht="14.25" x14ac:dyDescent="0.2">
      <c r="B44" s="9" t="str">
        <f>Resumo!B29</f>
        <v>Robson Darcio Sousa</v>
      </c>
      <c r="G44" s="87"/>
      <c r="H44" s="87"/>
      <c r="L44" s="83"/>
      <c r="M44" s="83"/>
      <c r="P44" s="84"/>
    </row>
    <row r="45" spans="1:18" ht="15" x14ac:dyDescent="0.25">
      <c r="B45" s="6" t="str">
        <f>Resumo!B30</f>
        <v>ENGº CIVIL</v>
      </c>
      <c r="L45" s="85"/>
      <c r="M45" s="85"/>
    </row>
    <row r="46" spans="1:18" x14ac:dyDescent="0.2">
      <c r="L46" s="54"/>
      <c r="M46" s="54"/>
      <c r="O46" s="86"/>
    </row>
    <row r="47" spans="1:18" x14ac:dyDescent="0.2">
      <c r="G47" s="87"/>
      <c r="H47" s="87"/>
    </row>
    <row r="50" spans="7:10" x14ac:dyDescent="0.2">
      <c r="J50" s="82"/>
    </row>
    <row r="51" spans="7:10" x14ac:dyDescent="0.2">
      <c r="H51" s="87"/>
    </row>
    <row r="56" spans="7:10" x14ac:dyDescent="0.2">
      <c r="G56" s="88" t="e">
        <f>I56-H56</f>
        <v>#REF!</v>
      </c>
      <c r="H56" s="88">
        <v>263157.90000000002</v>
      </c>
      <c r="I56" s="88" t="e">
        <f>D38</f>
        <v>#REF!</v>
      </c>
    </row>
    <row r="57" spans="7:10" x14ac:dyDescent="0.2">
      <c r="G57" s="89" t="e">
        <f>1-H57</f>
        <v>#REF!</v>
      </c>
      <c r="H57" s="89" t="e">
        <f>H56/I56</f>
        <v>#REF!</v>
      </c>
      <c r="I57" s="89" t="e">
        <f>SUM(G57:H57)</f>
        <v>#REF!</v>
      </c>
    </row>
  </sheetData>
  <mergeCells count="150">
    <mergeCell ref="J37:K37"/>
    <mergeCell ref="L37:M37"/>
    <mergeCell ref="N37:O37"/>
    <mergeCell ref="L36:M36"/>
    <mergeCell ref="N36:O36"/>
    <mergeCell ref="J36:K36"/>
    <mergeCell ref="P40:P41"/>
    <mergeCell ref="P38:P39"/>
    <mergeCell ref="F40:G41"/>
    <mergeCell ref="H40:I41"/>
    <mergeCell ref="J40:K41"/>
    <mergeCell ref="L40:M41"/>
    <mergeCell ref="N40:O41"/>
    <mergeCell ref="A36:A37"/>
    <mergeCell ref="B36:B37"/>
    <mergeCell ref="C36:C37"/>
    <mergeCell ref="D36:D37"/>
    <mergeCell ref="F36:G36"/>
    <mergeCell ref="H36:I36"/>
    <mergeCell ref="C38:C39"/>
    <mergeCell ref="D38:D39"/>
    <mergeCell ref="F37:G37"/>
    <mergeCell ref="H37:I37"/>
    <mergeCell ref="N32:O32"/>
    <mergeCell ref="A30:A31"/>
    <mergeCell ref="B30:B31"/>
    <mergeCell ref="C30:C31"/>
    <mergeCell ref="A34:A35"/>
    <mergeCell ref="B34:B35"/>
    <mergeCell ref="C34:C35"/>
    <mergeCell ref="D34:D35"/>
    <mergeCell ref="F34:G34"/>
    <mergeCell ref="H34:I34"/>
    <mergeCell ref="D30:D31"/>
    <mergeCell ref="F30:G30"/>
    <mergeCell ref="H30:I30"/>
    <mergeCell ref="J30:K30"/>
    <mergeCell ref="L34:M34"/>
    <mergeCell ref="N34:O34"/>
    <mergeCell ref="L30:M30"/>
    <mergeCell ref="N30:O30"/>
    <mergeCell ref="J34:K34"/>
    <mergeCell ref="A32:A33"/>
    <mergeCell ref="B32:B33"/>
    <mergeCell ref="C32:C33"/>
    <mergeCell ref="D32:D33"/>
    <mergeCell ref="F32:G32"/>
    <mergeCell ref="N28:O28"/>
    <mergeCell ref="A28:A29"/>
    <mergeCell ref="B28:B29"/>
    <mergeCell ref="C28:C29"/>
    <mergeCell ref="D28:D29"/>
    <mergeCell ref="F28:G28"/>
    <mergeCell ref="H28:I28"/>
    <mergeCell ref="J28:K28"/>
    <mergeCell ref="L26:M26"/>
    <mergeCell ref="N26:O26"/>
    <mergeCell ref="A26:A27"/>
    <mergeCell ref="B26:B27"/>
    <mergeCell ref="C26:C27"/>
    <mergeCell ref="D26:D27"/>
    <mergeCell ref="F26:G26"/>
    <mergeCell ref="H26:I26"/>
    <mergeCell ref="J26:K26"/>
    <mergeCell ref="L28:M28"/>
    <mergeCell ref="H32:I32"/>
    <mergeCell ref="J32:K32"/>
    <mergeCell ref="L32:M32"/>
    <mergeCell ref="A24:A25"/>
    <mergeCell ref="B24:B25"/>
    <mergeCell ref="C24:C25"/>
    <mergeCell ref="D24:D25"/>
    <mergeCell ref="F24:G24"/>
    <mergeCell ref="H24:I24"/>
    <mergeCell ref="J24:K24"/>
    <mergeCell ref="F18:G18"/>
    <mergeCell ref="H18:I18"/>
    <mergeCell ref="J18:K18"/>
    <mergeCell ref="L22:M22"/>
    <mergeCell ref="N22:O22"/>
    <mergeCell ref="A22:A23"/>
    <mergeCell ref="B22:B23"/>
    <mergeCell ref="L24:M24"/>
    <mergeCell ref="N24:O24"/>
    <mergeCell ref="C22:C23"/>
    <mergeCell ref="D22:D23"/>
    <mergeCell ref="F22:G22"/>
    <mergeCell ref="H22:I22"/>
    <mergeCell ref="J22:K22"/>
    <mergeCell ref="L16:M16"/>
    <mergeCell ref="N16:O16"/>
    <mergeCell ref="L20:M20"/>
    <mergeCell ref="N20:O20"/>
    <mergeCell ref="A16:A17"/>
    <mergeCell ref="B16:B17"/>
    <mergeCell ref="C16:C17"/>
    <mergeCell ref="D16:D17"/>
    <mergeCell ref="F16:G16"/>
    <mergeCell ref="H16:I16"/>
    <mergeCell ref="J16:K16"/>
    <mergeCell ref="A20:A21"/>
    <mergeCell ref="B20:B21"/>
    <mergeCell ref="C20:C21"/>
    <mergeCell ref="D20:D21"/>
    <mergeCell ref="F20:G20"/>
    <mergeCell ref="H20:I20"/>
    <mergeCell ref="J20:K20"/>
    <mergeCell ref="L18:M18"/>
    <mergeCell ref="N18:O18"/>
    <mergeCell ref="A18:A19"/>
    <mergeCell ref="B18:B19"/>
    <mergeCell ref="C18:C19"/>
    <mergeCell ref="D18:D19"/>
    <mergeCell ref="L14:M14"/>
    <mergeCell ref="N14:O14"/>
    <mergeCell ref="A14:A15"/>
    <mergeCell ref="B14:B15"/>
    <mergeCell ref="C14:C15"/>
    <mergeCell ref="D14:D15"/>
    <mergeCell ref="F14:G14"/>
    <mergeCell ref="H14:I14"/>
    <mergeCell ref="J14:K14"/>
    <mergeCell ref="L12:M12"/>
    <mergeCell ref="N12:O12"/>
    <mergeCell ref="C10:C11"/>
    <mergeCell ref="D10:D11"/>
    <mergeCell ref="F10:G10"/>
    <mergeCell ref="H10:I10"/>
    <mergeCell ref="J10:K10"/>
    <mergeCell ref="A12:A13"/>
    <mergeCell ref="B12:B13"/>
    <mergeCell ref="C12:C13"/>
    <mergeCell ref="D12:D13"/>
    <mergeCell ref="F12:G12"/>
    <mergeCell ref="H12:I12"/>
    <mergeCell ref="J12:K12"/>
    <mergeCell ref="L10:M10"/>
    <mergeCell ref="N10:O10"/>
    <mergeCell ref="A10:A11"/>
    <mergeCell ref="B10:B11"/>
    <mergeCell ref="A7:A8"/>
    <mergeCell ref="B7:B8"/>
    <mergeCell ref="C7:C8"/>
    <mergeCell ref="F8:G8"/>
    <mergeCell ref="H8:I8"/>
    <mergeCell ref="J8:K8"/>
    <mergeCell ref="L8:M8"/>
    <mergeCell ref="N8:O8"/>
    <mergeCell ref="F7:K7"/>
    <mergeCell ref="L7:O7"/>
  </mergeCells>
  <pageMargins left="0.51181102362204722" right="0.51181102362204722" top="0.78740157480314965" bottom="0.78740157480314965" header="0.31496062992125984" footer="0.31496062992125984"/>
  <pageSetup paperSize="9" scale="76" orientation="landscape" r:id="rId1"/>
  <colBreaks count="2" manualBreakCount="2">
    <brk id="11" max="49" man="1"/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/>
  <dimension ref="A1:G25"/>
  <sheetViews>
    <sheetView view="pageBreakPreview" zoomScale="90" zoomScaleNormal="100" zoomScaleSheetLayoutView="90" workbookViewId="0">
      <selection activeCell="J10" sqref="J10"/>
    </sheetView>
  </sheetViews>
  <sheetFormatPr defaultRowHeight="12.75" x14ac:dyDescent="0.2"/>
  <cols>
    <col min="1" max="1" width="11.5703125" customWidth="1"/>
    <col min="2" max="2" width="60.28515625" bestFit="1" customWidth="1"/>
    <col min="4" max="4" width="13.28515625" customWidth="1"/>
    <col min="6" max="6" width="18.28515625" customWidth="1"/>
    <col min="7" max="7" width="21.140625" customWidth="1"/>
  </cols>
  <sheetData>
    <row r="1" spans="1:7" x14ac:dyDescent="0.2">
      <c r="A1" s="1538" t="str">
        <f>Orçam.!A1</f>
        <v>ESTADO DE MATO GROSSO</v>
      </c>
      <c r="B1" s="1539"/>
      <c r="C1" s="1539"/>
      <c r="D1" s="1539"/>
      <c r="E1" s="1539"/>
      <c r="F1" s="1539"/>
      <c r="G1" s="1540"/>
    </row>
    <row r="2" spans="1:7" x14ac:dyDescent="0.2">
      <c r="A2" s="1541" t="str">
        <f>Orçam.!A2</f>
        <v xml:space="preserve">PREFEITURA MUNICIPAL DE BARRA DO BUGRES </v>
      </c>
      <c r="B2" s="1542"/>
      <c r="C2" s="1542"/>
      <c r="D2" s="1542"/>
      <c r="E2" s="1542"/>
      <c r="F2" s="1542"/>
      <c r="G2" s="1543"/>
    </row>
    <row r="3" spans="1:7" x14ac:dyDescent="0.2">
      <c r="A3" s="968" t="str">
        <f>Orçam.!A3</f>
        <v>OBRA:</v>
      </c>
      <c r="B3" s="1544" t="str">
        <f>Orçam.!B3</f>
        <v xml:space="preserve">PAVIMENTAÇÃO ASFALTICA E DRENAGEM DE AGUAS PLUVIAIS </v>
      </c>
      <c r="C3" s="1544"/>
      <c r="D3" s="1544"/>
      <c r="E3" s="1544"/>
      <c r="F3" s="1544"/>
      <c r="G3" s="1545"/>
    </row>
    <row r="4" spans="1:7" x14ac:dyDescent="0.2">
      <c r="A4" s="968" t="str">
        <f>Orçam.!A4</f>
        <v>LOCAL:</v>
      </c>
      <c r="B4" s="1544" t="str">
        <f>Orçam.!B4</f>
        <v>DIVERSAS RUAS - PERIMETRO URBANO</v>
      </c>
      <c r="C4" s="1544"/>
      <c r="D4" s="1544"/>
      <c r="E4" s="1544"/>
      <c r="F4" s="1544"/>
      <c r="G4" s="1545"/>
    </row>
    <row r="5" spans="1:7" x14ac:dyDescent="0.2">
      <c r="A5" s="968" t="str">
        <f>Orçam.!A5</f>
        <v>PROPR.:</v>
      </c>
      <c r="B5" s="1544" t="str">
        <f>Orçam.!B5</f>
        <v xml:space="preserve">PREFEITURA MUNICIPAL DE BARRA DO BUGRES </v>
      </c>
      <c r="C5" s="1544"/>
      <c r="D5" s="1544"/>
      <c r="E5" s="1544"/>
      <c r="F5" s="1544"/>
      <c r="G5" s="1545"/>
    </row>
    <row r="6" spans="1:7" ht="13.5" thickBot="1" x14ac:dyDescent="0.25">
      <c r="A6" s="969" t="str">
        <f>Orçam.!A6</f>
        <v>ÁREA (m²):</v>
      </c>
      <c r="B6" s="1546">
        <f>Orçam.!B6</f>
        <v>31131.72</v>
      </c>
      <c r="C6" s="1546"/>
      <c r="D6" s="1546"/>
      <c r="E6" s="1546"/>
      <c r="F6" s="1546"/>
      <c r="G6" s="1547"/>
    </row>
    <row r="7" spans="1:7" x14ac:dyDescent="0.2">
      <c r="A7" s="91"/>
    </row>
    <row r="8" spans="1:7" ht="13.5" thickBot="1" x14ac:dyDescent="0.25">
      <c r="A8" s="91"/>
    </row>
    <row r="9" spans="1:7" ht="18.75" thickBot="1" x14ac:dyDescent="0.25">
      <c r="A9" s="1530" t="s">
        <v>642</v>
      </c>
      <c r="B9" s="1531"/>
      <c r="C9" s="1531"/>
      <c r="D9" s="1531"/>
      <c r="E9" s="1531"/>
      <c r="F9" s="1531"/>
      <c r="G9" s="1532"/>
    </row>
    <row r="10" spans="1:7" ht="45" x14ac:dyDescent="0.2">
      <c r="A10" s="954" t="s">
        <v>0</v>
      </c>
      <c r="B10" s="955" t="s">
        <v>643</v>
      </c>
      <c r="C10" s="955" t="s">
        <v>644</v>
      </c>
      <c r="D10" s="955" t="s">
        <v>3</v>
      </c>
      <c r="E10" s="955" t="s">
        <v>645</v>
      </c>
      <c r="F10" s="955" t="s">
        <v>646</v>
      </c>
      <c r="G10" s="956" t="s">
        <v>647</v>
      </c>
    </row>
    <row r="11" spans="1:7" ht="15" x14ac:dyDescent="0.2">
      <c r="A11" s="1533" t="s">
        <v>648</v>
      </c>
      <c r="B11" s="1534"/>
      <c r="C11" s="1534"/>
      <c r="D11" s="1534"/>
      <c r="E11" s="1534"/>
      <c r="F11" s="1534"/>
      <c r="G11" s="1535"/>
    </row>
    <row r="12" spans="1:7" ht="14.25" x14ac:dyDescent="0.2">
      <c r="A12" s="957" t="s">
        <v>23</v>
      </c>
      <c r="B12" s="958" t="s">
        <v>649</v>
      </c>
      <c r="C12" s="959">
        <v>13.23</v>
      </c>
      <c r="D12" s="959">
        <v>3</v>
      </c>
      <c r="E12" s="960" t="s">
        <v>650</v>
      </c>
      <c r="F12" s="959">
        <f>180*2</f>
        <v>360</v>
      </c>
      <c r="G12" s="961">
        <f>C12*D12*F12</f>
        <v>14288.4</v>
      </c>
    </row>
    <row r="13" spans="1:7" s="91" customFormat="1" ht="14.25" x14ac:dyDescent="0.2">
      <c r="A13" s="957" t="s">
        <v>44</v>
      </c>
      <c r="B13" s="958" t="s">
        <v>657</v>
      </c>
      <c r="C13" s="959">
        <v>9.36</v>
      </c>
      <c r="D13" s="959">
        <v>2</v>
      </c>
      <c r="E13" s="960" t="s">
        <v>650</v>
      </c>
      <c r="F13" s="959">
        <f>180*2</f>
        <v>360</v>
      </c>
      <c r="G13" s="961">
        <f>C13*D13*F13</f>
        <v>6739.2</v>
      </c>
    </row>
    <row r="14" spans="1:7" ht="14.25" x14ac:dyDescent="0.2">
      <c r="A14" s="957" t="s">
        <v>45</v>
      </c>
      <c r="B14" s="958" t="s">
        <v>651</v>
      </c>
      <c r="C14" s="959">
        <v>5.65</v>
      </c>
      <c r="D14" s="959">
        <v>2</v>
      </c>
      <c r="E14" s="960" t="str">
        <f>E12</f>
        <v>CUIABA</v>
      </c>
      <c r="F14" s="959">
        <f>F12</f>
        <v>360</v>
      </c>
      <c r="G14" s="961">
        <f t="shared" ref="G14:G17" si="0">C14*D14*F14</f>
        <v>4068</v>
      </c>
    </row>
    <row r="15" spans="1:7" ht="14.25" x14ac:dyDescent="0.2">
      <c r="A15" s="957" t="s">
        <v>111</v>
      </c>
      <c r="B15" s="958" t="s">
        <v>652</v>
      </c>
      <c r="C15" s="959">
        <v>11.25</v>
      </c>
      <c r="D15" s="959">
        <v>3</v>
      </c>
      <c r="E15" s="960" t="str">
        <f t="shared" ref="E15:F17" si="1">E14</f>
        <v>CUIABA</v>
      </c>
      <c r="F15" s="959">
        <f t="shared" si="1"/>
        <v>360</v>
      </c>
      <c r="G15" s="961">
        <f t="shared" si="0"/>
        <v>12150</v>
      </c>
    </row>
    <row r="16" spans="1:7" ht="14.25" x14ac:dyDescent="0.2">
      <c r="A16" s="957" t="s">
        <v>233</v>
      </c>
      <c r="B16" s="958" t="s">
        <v>653</v>
      </c>
      <c r="C16" s="959">
        <v>19.3</v>
      </c>
      <c r="D16" s="959">
        <v>3</v>
      </c>
      <c r="E16" s="960" t="str">
        <f t="shared" si="1"/>
        <v>CUIABA</v>
      </c>
      <c r="F16" s="959">
        <f t="shared" si="1"/>
        <v>360</v>
      </c>
      <c r="G16" s="961">
        <f t="shared" si="0"/>
        <v>20844</v>
      </c>
    </row>
    <row r="17" spans="1:7" ht="14.25" x14ac:dyDescent="0.2">
      <c r="A17" s="957" t="s">
        <v>418</v>
      </c>
      <c r="B17" s="958" t="s">
        <v>654</v>
      </c>
      <c r="C17" s="959">
        <v>8.1999999999999993</v>
      </c>
      <c r="D17" s="959">
        <v>3</v>
      </c>
      <c r="E17" s="960" t="str">
        <f t="shared" si="1"/>
        <v>CUIABA</v>
      </c>
      <c r="F17" s="959">
        <f>F15</f>
        <v>360</v>
      </c>
      <c r="G17" s="961">
        <f t="shared" si="0"/>
        <v>8856</v>
      </c>
    </row>
    <row r="18" spans="1:7" ht="15.75" thickBot="1" x14ac:dyDescent="0.25">
      <c r="A18" s="1536" t="s">
        <v>7</v>
      </c>
      <c r="B18" s="1537"/>
      <c r="C18" s="1537"/>
      <c r="D18" s="1537"/>
      <c r="E18" s="1537"/>
      <c r="F18" s="1537"/>
      <c r="G18" s="962">
        <f>SUM(G12:G17)</f>
        <v>66945.600000000006</v>
      </c>
    </row>
    <row r="19" spans="1:7" x14ac:dyDescent="0.2">
      <c r="A19" s="91"/>
      <c r="B19" s="91"/>
      <c r="C19" s="91"/>
      <c r="D19" s="91"/>
      <c r="E19" s="91"/>
      <c r="F19" s="91"/>
      <c r="G19" s="91"/>
    </row>
    <row r="20" spans="1:7" ht="13.5" thickBot="1" x14ac:dyDescent="0.25">
      <c r="A20" s="91"/>
      <c r="B20" s="91"/>
      <c r="C20" s="91"/>
      <c r="D20" s="91"/>
      <c r="E20" s="91"/>
      <c r="F20" s="91"/>
      <c r="G20" s="91"/>
    </row>
    <row r="21" spans="1:7" ht="26.25" thickBot="1" x14ac:dyDescent="0.25">
      <c r="A21" s="963">
        <v>72840</v>
      </c>
      <c r="B21" s="964" t="s">
        <v>655</v>
      </c>
      <c r="C21" s="965" t="s">
        <v>656</v>
      </c>
      <c r="D21" s="966">
        <f>G18</f>
        <v>66945.600000000006</v>
      </c>
      <c r="E21" s="965">
        <v>0.53</v>
      </c>
      <c r="F21" s="967">
        <f>D21*E21</f>
        <v>35481.17</v>
      </c>
      <c r="G21" s="91"/>
    </row>
    <row r="22" spans="1:7" x14ac:dyDescent="0.2">
      <c r="A22" s="91"/>
      <c r="B22" s="91"/>
      <c r="C22" s="91"/>
      <c r="D22" s="91"/>
      <c r="E22" s="91"/>
      <c r="F22" s="91"/>
      <c r="G22" s="91"/>
    </row>
    <row r="23" spans="1:7" x14ac:dyDescent="0.2">
      <c r="A23" s="91"/>
      <c r="B23" s="91"/>
      <c r="C23" s="91"/>
      <c r="D23" s="91"/>
      <c r="E23" s="91"/>
      <c r="F23" s="91"/>
      <c r="G23" s="91"/>
    </row>
    <row r="24" spans="1:7" x14ac:dyDescent="0.2">
      <c r="A24" s="91"/>
      <c r="B24" s="91"/>
      <c r="C24" s="91"/>
      <c r="D24" s="91"/>
      <c r="E24" s="91"/>
      <c r="F24" s="91"/>
      <c r="G24" s="91"/>
    </row>
    <row r="25" spans="1:7" x14ac:dyDescent="0.2">
      <c r="A25" s="91"/>
      <c r="B25" s="91"/>
      <c r="C25" s="91"/>
      <c r="D25" s="91"/>
      <c r="E25" s="91"/>
      <c r="F25" s="91"/>
      <c r="G25" s="91"/>
    </row>
  </sheetData>
  <mergeCells count="9">
    <mergeCell ref="A9:G9"/>
    <mergeCell ref="A11:G11"/>
    <mergeCell ref="A18:F18"/>
    <mergeCell ref="A1:G1"/>
    <mergeCell ref="A2:G2"/>
    <mergeCell ref="B3:G3"/>
    <mergeCell ref="B4:G4"/>
    <mergeCell ref="B5:G5"/>
    <mergeCell ref="B6:G6"/>
  </mergeCells>
  <pageMargins left="0.511811024" right="0.511811024" top="0.78740157499999996" bottom="0.78740157499999996" header="0.31496062000000002" footer="0.31496062000000002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topLeftCell="A4" zoomScale="70" zoomScaleNormal="100" zoomScaleSheetLayoutView="70" workbookViewId="0">
      <selection activeCell="O15" sqref="O15"/>
    </sheetView>
  </sheetViews>
  <sheetFormatPr defaultRowHeight="12.75" x14ac:dyDescent="0.2"/>
  <cols>
    <col min="1" max="1" width="10.5703125" bestFit="1" customWidth="1"/>
    <col min="3" max="3" width="75.85546875" bestFit="1" customWidth="1"/>
    <col min="5" max="5" width="11.28515625" bestFit="1" customWidth="1"/>
    <col min="6" max="6" width="8.42578125" bestFit="1" customWidth="1"/>
    <col min="7" max="7" width="10.28515625" bestFit="1" customWidth="1"/>
    <col min="8" max="8" width="17.85546875" bestFit="1" customWidth="1"/>
  </cols>
  <sheetData>
    <row r="1" spans="1:8" x14ac:dyDescent="0.2">
      <c r="A1" s="1551" t="str">
        <f>Orçam.!A1</f>
        <v>ESTADO DE MATO GROSSO</v>
      </c>
      <c r="B1" s="1551"/>
      <c r="C1" s="1551"/>
      <c r="D1" s="1551"/>
      <c r="E1" s="1551"/>
      <c r="F1" s="1551"/>
      <c r="G1" s="1551"/>
      <c r="H1" s="1551"/>
    </row>
    <row r="2" spans="1:8" x14ac:dyDescent="0.2">
      <c r="A2" s="1551" t="str">
        <f>Orçam.!A2</f>
        <v xml:space="preserve">PREFEITURA MUNICIPAL DE BARRA DO BUGRES </v>
      </c>
      <c r="B2" s="1551"/>
      <c r="C2" s="1551"/>
      <c r="D2" s="1551"/>
      <c r="E2" s="1551"/>
      <c r="F2" s="1551"/>
      <c r="G2" s="1551"/>
      <c r="H2" s="1551"/>
    </row>
    <row r="3" spans="1:8" x14ac:dyDescent="0.2">
      <c r="A3" s="91" t="str">
        <f>Orçam.!A3</f>
        <v>OBRA:</v>
      </c>
      <c r="B3" s="1553" t="str">
        <f>Orçam.!B3</f>
        <v xml:space="preserve">PAVIMENTAÇÃO ASFALTICA E DRENAGEM DE AGUAS PLUVIAIS </v>
      </c>
      <c r="C3" s="1553"/>
      <c r="D3" s="1553"/>
      <c r="E3" s="1552" t="str">
        <f>Orçam.!F3</f>
        <v>TABELA REFERÊNCIA</v>
      </c>
      <c r="F3" s="1552"/>
      <c r="G3" s="1552" t="str">
        <f>Orçam.!G3</f>
        <v>SINAPI - JULHO / 2020    DESONERADO                                                                                                                           SICRO 10/2019</v>
      </c>
      <c r="H3" s="1552"/>
    </row>
    <row r="4" spans="1:8" x14ac:dyDescent="0.2">
      <c r="A4" s="91" t="str">
        <f>Orçam.!A4</f>
        <v>LOCAL:</v>
      </c>
      <c r="B4" s="1553" t="str">
        <f>Orçam.!B4</f>
        <v>DIVERSAS RUAS - PERIMETRO URBANO</v>
      </c>
      <c r="C4" s="1553"/>
      <c r="D4" s="1553"/>
      <c r="E4" s="1552"/>
      <c r="F4" s="1552"/>
      <c r="G4" s="1552"/>
      <c r="H4" s="1552"/>
    </row>
    <row r="5" spans="1:8" x14ac:dyDescent="0.2">
      <c r="A5" s="91" t="str">
        <f>Orçam.!A5</f>
        <v>PROPR.:</v>
      </c>
      <c r="B5" s="1553" t="str">
        <f>Orçam.!B5</f>
        <v xml:space="preserve">PREFEITURA MUNICIPAL DE BARRA DO BUGRES </v>
      </c>
      <c r="C5" s="1553"/>
      <c r="D5" s="1553"/>
    </row>
    <row r="7" spans="1:8" ht="13.5" thickBot="1" x14ac:dyDescent="0.25"/>
    <row r="8" spans="1:8" ht="18.75" thickBot="1" x14ac:dyDescent="0.25">
      <c r="A8" s="1530" t="s">
        <v>642</v>
      </c>
      <c r="B8" s="1548"/>
      <c r="C8" s="1531"/>
      <c r="D8" s="1531"/>
      <c r="E8" s="1531"/>
      <c r="F8" s="1531"/>
      <c r="G8" s="1531"/>
      <c r="H8" s="1532"/>
    </row>
    <row r="9" spans="1:8" ht="60" x14ac:dyDescent="0.2">
      <c r="A9" s="954" t="s">
        <v>0</v>
      </c>
      <c r="B9" s="1011"/>
      <c r="C9" s="955" t="s">
        <v>643</v>
      </c>
      <c r="D9" s="955" t="s">
        <v>644</v>
      </c>
      <c r="E9" s="955" t="s">
        <v>3</v>
      </c>
      <c r="F9" s="955" t="s">
        <v>645</v>
      </c>
      <c r="G9" s="955" t="s">
        <v>646</v>
      </c>
      <c r="H9" s="956" t="s">
        <v>647</v>
      </c>
    </row>
    <row r="10" spans="1:8" ht="15" x14ac:dyDescent="0.2">
      <c r="A10" s="1533" t="s">
        <v>648</v>
      </c>
      <c r="B10" s="1549"/>
      <c r="C10" s="1534"/>
      <c r="D10" s="1534"/>
      <c r="E10" s="1534"/>
      <c r="F10" s="1534"/>
      <c r="G10" s="1534"/>
      <c r="H10" s="1535"/>
    </row>
    <row r="11" spans="1:8" ht="14.25" x14ac:dyDescent="0.2">
      <c r="A11" s="957" t="s">
        <v>23</v>
      </c>
      <c r="B11" s="1012" t="s">
        <v>739</v>
      </c>
      <c r="C11" s="1013" t="s">
        <v>740</v>
      </c>
      <c r="D11" s="1014">
        <v>14.75</v>
      </c>
      <c r="E11" s="1015">
        <v>0</v>
      </c>
      <c r="F11" s="960" t="s">
        <v>650</v>
      </c>
      <c r="G11" s="959">
        <f>165*2</f>
        <v>330</v>
      </c>
      <c r="H11" s="961">
        <f>D11*E11*G11</f>
        <v>0</v>
      </c>
    </row>
    <row r="12" spans="1:8" ht="14.25" x14ac:dyDescent="0.2">
      <c r="A12" s="957" t="s">
        <v>44</v>
      </c>
      <c r="B12" s="1012" t="s">
        <v>741</v>
      </c>
      <c r="C12" s="1013" t="s">
        <v>742</v>
      </c>
      <c r="D12" s="1014">
        <v>11.48</v>
      </c>
      <c r="E12" s="1015">
        <v>1</v>
      </c>
      <c r="F12" s="960" t="s">
        <v>650</v>
      </c>
      <c r="G12" s="959">
        <f>180*2</f>
        <v>360</v>
      </c>
      <c r="H12" s="961">
        <f t="shared" ref="H12:H28" si="0">D12*E12*G12</f>
        <v>4132.8</v>
      </c>
    </row>
    <row r="13" spans="1:8" ht="14.25" x14ac:dyDescent="0.2">
      <c r="A13" s="957" t="s">
        <v>45</v>
      </c>
      <c r="B13" s="1012" t="s">
        <v>743</v>
      </c>
      <c r="C13" s="1013" t="s">
        <v>744</v>
      </c>
      <c r="D13" s="1014">
        <v>4.3</v>
      </c>
      <c r="E13" s="1015"/>
      <c r="F13" s="960" t="str">
        <f>F11</f>
        <v>CUIABA</v>
      </c>
      <c r="G13" s="959">
        <f>G11</f>
        <v>330</v>
      </c>
      <c r="H13" s="961">
        <f t="shared" si="0"/>
        <v>0</v>
      </c>
    </row>
    <row r="14" spans="1:8" ht="14.25" x14ac:dyDescent="0.2">
      <c r="A14" s="957" t="s">
        <v>111</v>
      </c>
      <c r="B14" s="1016" t="s">
        <v>745</v>
      </c>
      <c r="C14" s="1017" t="s">
        <v>746</v>
      </c>
      <c r="D14" s="1014">
        <v>16.559999999999999</v>
      </c>
      <c r="E14" s="1015">
        <v>1</v>
      </c>
      <c r="F14" s="960" t="str">
        <f t="shared" ref="F14:G24" si="1">F13</f>
        <v>CUIABA</v>
      </c>
      <c r="G14" s="959">
        <f t="shared" si="1"/>
        <v>330</v>
      </c>
      <c r="H14" s="961">
        <f t="shared" si="0"/>
        <v>5464.8</v>
      </c>
    </row>
    <row r="15" spans="1:8" ht="14.25" x14ac:dyDescent="0.2">
      <c r="A15" s="957" t="s">
        <v>233</v>
      </c>
      <c r="B15" s="1012" t="s">
        <v>747</v>
      </c>
      <c r="C15" s="1013" t="s">
        <v>748</v>
      </c>
      <c r="D15" s="1014">
        <v>5.65</v>
      </c>
      <c r="E15" s="1015">
        <v>1</v>
      </c>
      <c r="F15" s="960" t="str">
        <f t="shared" si="1"/>
        <v>CUIABA</v>
      </c>
      <c r="G15" s="959">
        <f t="shared" si="1"/>
        <v>330</v>
      </c>
      <c r="H15" s="961">
        <f t="shared" si="0"/>
        <v>1864.5</v>
      </c>
    </row>
    <row r="16" spans="1:8" ht="14.25" x14ac:dyDescent="0.2">
      <c r="A16" s="957" t="s">
        <v>418</v>
      </c>
      <c r="B16" s="1016" t="s">
        <v>749</v>
      </c>
      <c r="C16" s="1017" t="s">
        <v>750</v>
      </c>
      <c r="D16" s="1014">
        <v>11.25</v>
      </c>
      <c r="E16" s="1015">
        <v>2</v>
      </c>
      <c r="F16" s="960" t="str">
        <f t="shared" si="1"/>
        <v>CUIABA</v>
      </c>
      <c r="G16" s="959">
        <f>G14</f>
        <v>330</v>
      </c>
      <c r="H16" s="961">
        <f t="shared" si="0"/>
        <v>7425</v>
      </c>
    </row>
    <row r="17" spans="1:8" ht="14.25" x14ac:dyDescent="0.2">
      <c r="A17" s="957" t="s">
        <v>419</v>
      </c>
      <c r="B17" s="1012" t="s">
        <v>751</v>
      </c>
      <c r="C17" s="1013" t="s">
        <v>752</v>
      </c>
      <c r="D17" s="1014">
        <v>31.58</v>
      </c>
      <c r="E17" s="1015">
        <v>0</v>
      </c>
      <c r="F17" s="960" t="str">
        <f t="shared" si="1"/>
        <v>CUIABA</v>
      </c>
      <c r="G17" s="959">
        <f t="shared" ref="G17:G28" si="2">G15</f>
        <v>330</v>
      </c>
      <c r="H17" s="961">
        <f t="shared" si="0"/>
        <v>0</v>
      </c>
    </row>
    <row r="18" spans="1:8" ht="14.25" x14ac:dyDescent="0.2">
      <c r="A18" s="957" t="s">
        <v>420</v>
      </c>
      <c r="B18" s="1012" t="s">
        <v>753</v>
      </c>
      <c r="C18" s="1013" t="s">
        <v>754</v>
      </c>
      <c r="D18" s="1014">
        <v>10.9</v>
      </c>
      <c r="E18" s="1015">
        <v>1</v>
      </c>
      <c r="F18" s="960" t="str">
        <f t="shared" si="1"/>
        <v>CUIABA</v>
      </c>
      <c r="G18" s="959">
        <f t="shared" si="2"/>
        <v>330</v>
      </c>
      <c r="H18" s="961">
        <f t="shared" si="0"/>
        <v>3597</v>
      </c>
    </row>
    <row r="19" spans="1:8" ht="14.25" x14ac:dyDescent="0.2">
      <c r="A19" s="957" t="s">
        <v>421</v>
      </c>
      <c r="B19" s="1012" t="s">
        <v>755</v>
      </c>
      <c r="C19" s="1013" t="s">
        <v>756</v>
      </c>
      <c r="D19" s="1014">
        <v>8.1999999999999993</v>
      </c>
      <c r="E19" s="1015"/>
      <c r="F19" s="960" t="str">
        <f t="shared" si="1"/>
        <v>CUIABA</v>
      </c>
      <c r="G19" s="959">
        <f t="shared" si="2"/>
        <v>330</v>
      </c>
      <c r="H19" s="961">
        <f t="shared" si="0"/>
        <v>0</v>
      </c>
    </row>
    <row r="20" spans="1:8" ht="14.25" x14ac:dyDescent="0.2">
      <c r="A20" s="957" t="s">
        <v>422</v>
      </c>
      <c r="B20" s="1012" t="s">
        <v>757</v>
      </c>
      <c r="C20" s="1013" t="s">
        <v>758</v>
      </c>
      <c r="D20" s="1014">
        <v>2.6</v>
      </c>
      <c r="E20" s="1015">
        <v>1</v>
      </c>
      <c r="F20" s="960" t="str">
        <f t="shared" si="1"/>
        <v>CUIABA</v>
      </c>
      <c r="G20" s="959">
        <f t="shared" si="2"/>
        <v>330</v>
      </c>
      <c r="H20" s="961">
        <f t="shared" si="0"/>
        <v>858</v>
      </c>
    </row>
    <row r="21" spans="1:8" ht="14.25" x14ac:dyDescent="0.2">
      <c r="A21" s="957" t="s">
        <v>423</v>
      </c>
      <c r="B21" s="1012" t="s">
        <v>759</v>
      </c>
      <c r="C21" s="1017" t="s">
        <v>760</v>
      </c>
      <c r="D21" s="1014">
        <v>1.2</v>
      </c>
      <c r="E21" s="1015">
        <v>1</v>
      </c>
      <c r="F21" s="960" t="str">
        <f t="shared" si="1"/>
        <v>CUIABA</v>
      </c>
      <c r="G21" s="959">
        <f t="shared" si="2"/>
        <v>330</v>
      </c>
      <c r="H21" s="961">
        <f t="shared" si="0"/>
        <v>396</v>
      </c>
    </row>
    <row r="22" spans="1:8" ht="14.25" x14ac:dyDescent="0.2">
      <c r="A22" s="957" t="s">
        <v>424</v>
      </c>
      <c r="B22" s="1016" t="s">
        <v>761</v>
      </c>
      <c r="C22" s="1013" t="s">
        <v>762</v>
      </c>
      <c r="D22" s="1014">
        <v>3</v>
      </c>
      <c r="E22" s="1015">
        <v>1</v>
      </c>
      <c r="F22" s="960" t="str">
        <f t="shared" si="1"/>
        <v>CUIABA</v>
      </c>
      <c r="G22" s="959">
        <f t="shared" si="2"/>
        <v>330</v>
      </c>
      <c r="H22" s="961">
        <f t="shared" si="0"/>
        <v>990</v>
      </c>
    </row>
    <row r="23" spans="1:8" ht="14.25" x14ac:dyDescent="0.2">
      <c r="A23" s="957" t="s">
        <v>481</v>
      </c>
      <c r="B23" s="1012" t="s">
        <v>763</v>
      </c>
      <c r="C23" s="1013" t="s">
        <v>764</v>
      </c>
      <c r="D23" s="1014">
        <v>2</v>
      </c>
      <c r="E23" s="1015">
        <v>1</v>
      </c>
      <c r="F23" s="960" t="str">
        <f t="shared" si="1"/>
        <v>CUIABA</v>
      </c>
      <c r="G23" s="959">
        <f t="shared" si="2"/>
        <v>330</v>
      </c>
      <c r="H23" s="961">
        <f t="shared" si="0"/>
        <v>660</v>
      </c>
    </row>
    <row r="24" spans="1:8" ht="14.25" x14ac:dyDescent="0.2">
      <c r="A24" s="957" t="s">
        <v>765</v>
      </c>
      <c r="B24" s="1018"/>
      <c r="C24" s="1019"/>
      <c r="D24" s="959"/>
      <c r="E24" s="1020"/>
      <c r="F24" s="960" t="str">
        <f t="shared" si="1"/>
        <v>CUIABA</v>
      </c>
      <c r="G24" s="959">
        <f t="shared" si="2"/>
        <v>330</v>
      </c>
      <c r="H24" s="961">
        <f t="shared" si="0"/>
        <v>0</v>
      </c>
    </row>
    <row r="25" spans="1:8" ht="14.25" x14ac:dyDescent="0.2">
      <c r="A25" s="957" t="s">
        <v>766</v>
      </c>
      <c r="B25" s="1018"/>
      <c r="C25" s="1019"/>
      <c r="D25" s="959"/>
      <c r="E25" s="1020"/>
      <c r="F25" s="960" t="str">
        <f t="shared" ref="F25" si="3">F20</f>
        <v>CUIABA</v>
      </c>
      <c r="G25" s="959">
        <f t="shared" si="2"/>
        <v>330</v>
      </c>
      <c r="H25" s="961">
        <f t="shared" si="0"/>
        <v>0</v>
      </c>
    </row>
    <row r="26" spans="1:8" ht="14.25" x14ac:dyDescent="0.2">
      <c r="A26" s="957" t="s">
        <v>767</v>
      </c>
      <c r="B26" s="1018"/>
      <c r="C26" s="1019"/>
      <c r="D26" s="1020"/>
      <c r="E26" s="1020"/>
      <c r="F26" s="960" t="str">
        <f t="shared" ref="F26:F28" si="4">F25</f>
        <v>CUIABA</v>
      </c>
      <c r="G26" s="959">
        <f t="shared" si="2"/>
        <v>330</v>
      </c>
      <c r="H26" s="961">
        <f t="shared" si="0"/>
        <v>0</v>
      </c>
    </row>
    <row r="27" spans="1:8" ht="14.25" x14ac:dyDescent="0.2">
      <c r="A27" s="957" t="s">
        <v>768</v>
      </c>
      <c r="B27" s="1018"/>
      <c r="C27" s="1019"/>
      <c r="D27" s="1020"/>
      <c r="E27" s="1020"/>
      <c r="F27" s="960" t="str">
        <f t="shared" si="4"/>
        <v>CUIABA</v>
      </c>
      <c r="G27" s="959">
        <f t="shared" si="2"/>
        <v>330</v>
      </c>
      <c r="H27" s="961">
        <f t="shared" si="0"/>
        <v>0</v>
      </c>
    </row>
    <row r="28" spans="1:8" ht="14.25" x14ac:dyDescent="0.2">
      <c r="A28" s="957" t="s">
        <v>769</v>
      </c>
      <c r="B28" s="1018"/>
      <c r="C28" s="1019"/>
      <c r="D28" s="1020"/>
      <c r="E28" s="1020"/>
      <c r="F28" s="960" t="str">
        <f t="shared" si="4"/>
        <v>CUIABA</v>
      </c>
      <c r="G28" s="959">
        <f t="shared" si="2"/>
        <v>330</v>
      </c>
      <c r="H28" s="961">
        <f t="shared" si="0"/>
        <v>0</v>
      </c>
    </row>
    <row r="29" spans="1:8" ht="15.75" thickBot="1" x14ac:dyDescent="0.25">
      <c r="A29" s="1536" t="s">
        <v>7</v>
      </c>
      <c r="B29" s="1550"/>
      <c r="C29" s="1537"/>
      <c r="D29" s="1537"/>
      <c r="E29" s="1537"/>
      <c r="F29" s="1537"/>
      <c r="G29" s="1537"/>
      <c r="H29" s="962">
        <f>SUM(H11:H28)</f>
        <v>25388.1</v>
      </c>
    </row>
    <row r="30" spans="1:8" x14ac:dyDescent="0.2">
      <c r="A30" s="91"/>
      <c r="B30" s="91"/>
      <c r="C30" s="91"/>
      <c r="D30" s="91"/>
      <c r="E30" s="91"/>
      <c r="F30" s="91"/>
      <c r="G30" s="91"/>
      <c r="H30" s="91"/>
    </row>
    <row r="31" spans="1:8" x14ac:dyDescent="0.2">
      <c r="A31" s="91"/>
      <c r="B31" s="91"/>
      <c r="C31" s="91"/>
      <c r="D31" s="91"/>
      <c r="E31" s="91"/>
      <c r="F31" s="91"/>
      <c r="G31" s="91"/>
      <c r="H31" s="91"/>
    </row>
    <row r="32" spans="1:8" ht="25.5" x14ac:dyDescent="0.2">
      <c r="A32" s="1021">
        <v>72840</v>
      </c>
      <c r="B32" s="1021"/>
      <c r="C32" s="1022" t="s">
        <v>655</v>
      </c>
      <c r="D32" s="1021" t="s">
        <v>656</v>
      </c>
      <c r="E32" s="1023">
        <f>H29</f>
        <v>25388.1</v>
      </c>
      <c r="F32" s="1021">
        <v>0.53</v>
      </c>
      <c r="G32" s="1024">
        <f>E32*F32</f>
        <v>13455.69</v>
      </c>
      <c r="H32" s="91"/>
    </row>
  </sheetData>
  <mergeCells count="10">
    <mergeCell ref="A8:H8"/>
    <mergeCell ref="A10:H10"/>
    <mergeCell ref="A29:G29"/>
    <mergeCell ref="A1:H1"/>
    <mergeCell ref="A2:H2"/>
    <mergeCell ref="E3:F4"/>
    <mergeCell ref="G3:H4"/>
    <mergeCell ref="B3:D3"/>
    <mergeCell ref="B4:D4"/>
    <mergeCell ref="B5:D5"/>
  </mergeCells>
  <pageMargins left="0.511811024" right="0.511811024" top="0.78740157499999996" bottom="0.78740157499999996" header="0.31496062000000002" footer="0.31496062000000002"/>
  <pageSetup paperSize="9" scale="5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topLeftCell="A10" zoomScale="90" zoomScaleNormal="100" zoomScaleSheetLayoutView="90" workbookViewId="0">
      <selection activeCell="M24" sqref="M24"/>
    </sheetView>
  </sheetViews>
  <sheetFormatPr defaultRowHeight="12.75" x14ac:dyDescent="0.2"/>
  <cols>
    <col min="1" max="1" width="10.5703125" bestFit="1" customWidth="1"/>
    <col min="2" max="2" width="54.5703125" customWidth="1"/>
    <col min="5" max="6" width="9.140625" style="91"/>
    <col min="9" max="9" width="10.28515625" bestFit="1" customWidth="1"/>
  </cols>
  <sheetData>
    <row r="1" spans="1:9" x14ac:dyDescent="0.2">
      <c r="A1" s="1551" t="str">
        <f>Orçam.!A1</f>
        <v>ESTADO DE MATO GROSSO</v>
      </c>
      <c r="B1" s="1551"/>
      <c r="C1" s="1551"/>
      <c r="D1" s="1551"/>
      <c r="E1" s="1551"/>
      <c r="F1" s="1551"/>
      <c r="G1" s="1551"/>
      <c r="H1" s="1551"/>
      <c r="I1" s="1551"/>
    </row>
    <row r="2" spans="1:9" x14ac:dyDescent="0.2">
      <c r="A2" s="1551" t="str">
        <f>Orçam.!A2</f>
        <v xml:space="preserve">PREFEITURA MUNICIPAL DE BARRA DO BUGRES </v>
      </c>
      <c r="B2" s="1551"/>
      <c r="C2" s="1551"/>
      <c r="D2" s="1551"/>
      <c r="E2" s="1551"/>
      <c r="F2" s="1551"/>
      <c r="G2" s="1551"/>
      <c r="H2" s="1551"/>
      <c r="I2" s="1551"/>
    </row>
    <row r="3" spans="1:9" x14ac:dyDescent="0.2">
      <c r="A3" s="91" t="str">
        <f>Orçam.!A3</f>
        <v>OBRA:</v>
      </c>
      <c r="B3" s="91" t="str">
        <f>Orçam.!B3</f>
        <v xml:space="preserve">PAVIMENTAÇÃO ASFALTICA E DRENAGEM DE AGUAS PLUVIAIS </v>
      </c>
    </row>
    <row r="4" spans="1:9" x14ac:dyDescent="0.2">
      <c r="A4" s="91" t="str">
        <f>Orçam.!A4</f>
        <v>LOCAL:</v>
      </c>
      <c r="B4" s="91" t="str">
        <f>Orçam.!B4</f>
        <v>DIVERSAS RUAS - PERIMETRO URBANO</v>
      </c>
    </row>
    <row r="5" spans="1:9" x14ac:dyDescent="0.2">
      <c r="A5" s="91" t="str">
        <f>Orçam.!A5</f>
        <v>PROPR.:</v>
      </c>
      <c r="B5" s="91" t="str">
        <f>Orçam.!B5</f>
        <v xml:space="preserve">PREFEITURA MUNICIPAL DE BARRA DO BUGRES </v>
      </c>
    </row>
    <row r="6" spans="1:9" x14ac:dyDescent="0.2">
      <c r="A6" s="91"/>
      <c r="B6" s="91"/>
    </row>
    <row r="7" spans="1:9" x14ac:dyDescent="0.2">
      <c r="A7" s="91"/>
    </row>
    <row r="9" spans="1:9" ht="13.5" thickBot="1" x14ac:dyDescent="0.25"/>
    <row r="10" spans="1:9" ht="13.5" thickBot="1" x14ac:dyDescent="0.25">
      <c r="A10" s="1327" t="s">
        <v>500</v>
      </c>
      <c r="B10" s="1328"/>
      <c r="C10" s="1328"/>
      <c r="D10" s="1328"/>
      <c r="E10" s="1328"/>
      <c r="F10" s="1328"/>
      <c r="G10" s="1328"/>
      <c r="H10" s="1328"/>
      <c r="I10" s="1329"/>
    </row>
    <row r="11" spans="1:9" ht="25.5" x14ac:dyDescent="0.2">
      <c r="A11" s="791" t="s">
        <v>501</v>
      </c>
      <c r="B11" s="792" t="s">
        <v>502</v>
      </c>
      <c r="C11" s="792" t="s">
        <v>184</v>
      </c>
      <c r="D11" s="792" t="s">
        <v>770</v>
      </c>
      <c r="E11" s="792" t="s">
        <v>771</v>
      </c>
      <c r="F11" s="792" t="s">
        <v>772</v>
      </c>
      <c r="G11" s="792" t="s">
        <v>68</v>
      </c>
      <c r="H11" s="792" t="s">
        <v>186</v>
      </c>
      <c r="I11" s="793" t="s">
        <v>187</v>
      </c>
    </row>
    <row r="12" spans="1:9" ht="25.5" x14ac:dyDescent="0.2">
      <c r="A12" s="223">
        <v>90778</v>
      </c>
      <c r="B12" s="300" t="s">
        <v>360</v>
      </c>
      <c r="C12" s="37" t="s">
        <v>195</v>
      </c>
      <c r="D12" s="1025">
        <v>8</v>
      </c>
      <c r="E12" s="1025">
        <v>5</v>
      </c>
      <c r="F12" s="1025">
        <v>6</v>
      </c>
      <c r="G12" s="923">
        <f>D12*E12*F12</f>
        <v>240</v>
      </c>
      <c r="H12" s="37">
        <v>89.98</v>
      </c>
      <c r="I12" s="794">
        <f>TRUNC((G12*H12),3)</f>
        <v>21595.200000000001</v>
      </c>
    </row>
    <row r="13" spans="1:9" x14ac:dyDescent="0.2">
      <c r="A13" s="223">
        <v>90780</v>
      </c>
      <c r="B13" s="300" t="s">
        <v>348</v>
      </c>
      <c r="C13" s="37" t="s">
        <v>195</v>
      </c>
      <c r="D13" s="37">
        <v>8</v>
      </c>
      <c r="E13" s="37">
        <f>E12</f>
        <v>5</v>
      </c>
      <c r="F13" s="37">
        <f>F12</f>
        <v>6</v>
      </c>
      <c r="G13" s="923">
        <f t="shared" ref="G13:G15" si="0">D13*E13*F13</f>
        <v>240</v>
      </c>
      <c r="H13" s="37">
        <v>27.82</v>
      </c>
      <c r="I13" s="794">
        <f>TRUNC((G13*H13),3)</f>
        <v>6676.8</v>
      </c>
    </row>
    <row r="14" spans="1:9" ht="25.5" x14ac:dyDescent="0.2">
      <c r="A14" s="223">
        <v>90772</v>
      </c>
      <c r="B14" s="300" t="s">
        <v>361</v>
      </c>
      <c r="C14" s="37" t="s">
        <v>195</v>
      </c>
      <c r="D14" s="37">
        <v>8</v>
      </c>
      <c r="E14" s="37">
        <f t="shared" ref="E14:E15" si="1">E13</f>
        <v>5</v>
      </c>
      <c r="F14" s="37">
        <f t="shared" ref="F14:F15" si="2">F13</f>
        <v>6</v>
      </c>
      <c r="G14" s="923">
        <f t="shared" si="0"/>
        <v>240</v>
      </c>
      <c r="H14" s="37">
        <v>11.4</v>
      </c>
      <c r="I14" s="794">
        <f>TRUNC((G14*H14),3)</f>
        <v>2736</v>
      </c>
    </row>
    <row r="15" spans="1:9" x14ac:dyDescent="0.2">
      <c r="A15" s="223">
        <v>90781</v>
      </c>
      <c r="B15" s="300" t="s">
        <v>574</v>
      </c>
      <c r="C15" s="37" t="s">
        <v>195</v>
      </c>
      <c r="D15" s="37">
        <v>8</v>
      </c>
      <c r="E15" s="37">
        <f t="shared" si="1"/>
        <v>5</v>
      </c>
      <c r="F15" s="37">
        <f t="shared" si="2"/>
        <v>6</v>
      </c>
      <c r="G15" s="923">
        <f t="shared" si="0"/>
        <v>240</v>
      </c>
      <c r="H15" s="37">
        <v>13.44</v>
      </c>
      <c r="I15" s="794">
        <f>TRUNC((G15*H15),3)</f>
        <v>3225.6</v>
      </c>
    </row>
    <row r="16" spans="1:9" x14ac:dyDescent="0.2">
      <c r="A16" s="223"/>
      <c r="B16" s="300"/>
      <c r="C16" s="37"/>
      <c r="D16" s="37"/>
      <c r="E16" s="37"/>
      <c r="F16" s="37"/>
      <c r="G16" s="190"/>
      <c r="H16" s="191"/>
      <c r="I16" s="794">
        <f t="shared" ref="I16:I17" si="3">TRUNC((G16*H16),3)</f>
        <v>0</v>
      </c>
    </row>
    <row r="17" spans="1:9" x14ac:dyDescent="0.2">
      <c r="A17" s="223"/>
      <c r="B17" s="300"/>
      <c r="C17" s="37"/>
      <c r="D17" s="37"/>
      <c r="E17" s="37"/>
      <c r="F17" s="37"/>
      <c r="G17" s="190"/>
      <c r="H17" s="191"/>
      <c r="I17" s="794">
        <f t="shared" si="3"/>
        <v>0</v>
      </c>
    </row>
    <row r="18" spans="1:9" ht="13.5" thickBot="1" x14ac:dyDescent="0.25">
      <c r="A18" s="204"/>
      <c r="B18" s="1318" t="s">
        <v>503</v>
      </c>
      <c r="C18" s="1319"/>
      <c r="D18" s="1319"/>
      <c r="E18" s="1319"/>
      <c r="F18" s="1319"/>
      <c r="G18" s="1319"/>
      <c r="H18" s="1320"/>
      <c r="I18" s="207">
        <f>SUM(I12:I17)</f>
        <v>34233.599999999999</v>
      </c>
    </row>
  </sheetData>
  <mergeCells count="4">
    <mergeCell ref="A10:I10"/>
    <mergeCell ref="B18:H18"/>
    <mergeCell ref="A1:I1"/>
    <mergeCell ref="A2:I2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28"/>
  <sheetViews>
    <sheetView view="pageBreakPreview" zoomScaleNormal="100" zoomScaleSheetLayoutView="100" workbookViewId="0">
      <selection activeCell="B3" sqref="B3:H3"/>
    </sheetView>
  </sheetViews>
  <sheetFormatPr defaultColWidth="9.140625" defaultRowHeight="12.75" x14ac:dyDescent="0.2"/>
  <cols>
    <col min="1" max="1" width="12.140625" style="268" customWidth="1"/>
    <col min="2" max="2" width="51.28515625" style="268" bestFit="1" customWidth="1"/>
    <col min="3" max="3" width="11.140625" style="268" customWidth="1"/>
    <col min="4" max="4" width="12.140625" style="268" bestFit="1" customWidth="1"/>
    <col min="5" max="5" width="11.42578125" style="268" bestFit="1" customWidth="1"/>
    <col min="6" max="6" width="9.140625" style="296"/>
    <col min="7" max="7" width="9.140625" style="268"/>
    <col min="8" max="8" width="14" style="268" customWidth="1"/>
    <col min="9" max="9" width="15.140625" style="268" customWidth="1"/>
    <col min="10" max="10" width="14.5703125" style="268" bestFit="1" customWidth="1"/>
    <col min="11" max="11" width="9.140625" style="268"/>
    <col min="12" max="12" width="12.85546875" style="268" bestFit="1" customWidth="1"/>
    <col min="13" max="13" width="11.7109375" style="268" bestFit="1" customWidth="1"/>
    <col min="14" max="16384" width="9.140625" style="268"/>
  </cols>
  <sheetData>
    <row r="1" spans="1:13" ht="15.75" x14ac:dyDescent="0.2">
      <c r="A1" s="1111" t="s">
        <v>55</v>
      </c>
      <c r="B1" s="1112"/>
      <c r="C1" s="1112"/>
      <c r="D1" s="1112"/>
      <c r="E1" s="1112"/>
      <c r="F1" s="1112"/>
      <c r="G1" s="1112"/>
      <c r="H1" s="1112"/>
      <c r="I1" s="1112"/>
      <c r="J1" s="1113"/>
    </row>
    <row r="2" spans="1:13" ht="15.75" x14ac:dyDescent="0.2">
      <c r="A2" s="1114" t="s">
        <v>566</v>
      </c>
      <c r="B2" s="1115"/>
      <c r="C2" s="1115"/>
      <c r="D2" s="1115"/>
      <c r="E2" s="1115"/>
      <c r="F2" s="1115"/>
      <c r="G2" s="1115"/>
      <c r="H2" s="1115"/>
      <c r="I2" s="1115"/>
      <c r="J2" s="1116"/>
    </row>
    <row r="3" spans="1:13" s="392" customFormat="1" ht="15" x14ac:dyDescent="0.2">
      <c r="A3" s="381" t="s">
        <v>56</v>
      </c>
      <c r="B3" s="1108" t="s">
        <v>780</v>
      </c>
      <c r="C3" s="1109"/>
      <c r="D3" s="1109"/>
      <c r="E3" s="1109"/>
      <c r="F3" s="1109"/>
      <c r="G3" s="1109"/>
      <c r="H3" s="1110"/>
      <c r="I3" s="1102" t="s">
        <v>773</v>
      </c>
      <c r="J3" s="1103"/>
    </row>
    <row r="4" spans="1:13" s="392" customFormat="1" ht="15" customHeight="1" x14ac:dyDescent="0.2">
      <c r="A4" s="381" t="s">
        <v>57</v>
      </c>
      <c r="B4" s="1122" t="s">
        <v>291</v>
      </c>
      <c r="C4" s="1122"/>
      <c r="D4" s="1122"/>
      <c r="E4" s="1122"/>
      <c r="F4" s="1122"/>
      <c r="G4" s="1122"/>
      <c r="H4" s="1122"/>
      <c r="I4" s="1104"/>
      <c r="J4" s="1105"/>
    </row>
    <row r="5" spans="1:13" s="392" customFormat="1" ht="18.75" customHeight="1" x14ac:dyDescent="0.2">
      <c r="A5" s="381" t="s">
        <v>58</v>
      </c>
      <c r="B5" s="1121" t="str">
        <f>A2</f>
        <v xml:space="preserve">PREFEITURA MUNICIPAL DE BARRA DO BUGRES </v>
      </c>
      <c r="C5" s="1121"/>
      <c r="D5" s="1121"/>
      <c r="E5" s="393" t="s">
        <v>362</v>
      </c>
      <c r="F5" s="1120" t="s">
        <v>707</v>
      </c>
      <c r="G5" s="1120"/>
      <c r="H5" s="1120"/>
      <c r="I5" s="1104"/>
      <c r="J5" s="1105"/>
    </row>
    <row r="6" spans="1:13" s="392" customFormat="1" ht="19.5" customHeight="1" thickBot="1" x14ac:dyDescent="0.25">
      <c r="A6" s="394" t="s">
        <v>382</v>
      </c>
      <c r="B6" s="1117">
        <f>Pavim.!C24</f>
        <v>31131.72</v>
      </c>
      <c r="C6" s="1117"/>
      <c r="D6" s="1117"/>
      <c r="E6" s="395" t="s">
        <v>60</v>
      </c>
      <c r="F6" s="1118">
        <f>BDI!F17</f>
        <v>0.25640000000000002</v>
      </c>
      <c r="G6" s="1119"/>
      <c r="H6" s="395" t="s">
        <v>61</v>
      </c>
      <c r="I6" s="1106"/>
      <c r="J6" s="1107"/>
    </row>
    <row r="7" spans="1:13" ht="21.75" customHeight="1" thickBot="1" x14ac:dyDescent="0.25">
      <c r="A7" s="1091" t="s">
        <v>586</v>
      </c>
      <c r="B7" s="1092"/>
      <c r="C7" s="1092"/>
      <c r="D7" s="1092"/>
      <c r="E7" s="1092"/>
      <c r="F7" s="1092"/>
      <c r="G7" s="1092"/>
      <c r="H7" s="1092"/>
      <c r="I7" s="1092"/>
      <c r="J7" s="1093"/>
    </row>
    <row r="8" spans="1:13" ht="14.25" x14ac:dyDescent="0.2">
      <c r="A8" s="1094" t="s">
        <v>62</v>
      </c>
      <c r="B8" s="1096" t="s">
        <v>63</v>
      </c>
      <c r="C8" s="1096" t="s">
        <v>368</v>
      </c>
      <c r="D8" s="1096" t="s">
        <v>383</v>
      </c>
      <c r="E8" s="1096" t="s">
        <v>384</v>
      </c>
      <c r="F8" s="1096" t="s">
        <v>65</v>
      </c>
      <c r="G8" s="1096"/>
      <c r="H8" s="1096"/>
      <c r="I8" s="1096"/>
      <c r="J8" s="1098" t="s">
        <v>66</v>
      </c>
    </row>
    <row r="9" spans="1:13" ht="28.5" x14ac:dyDescent="0.2">
      <c r="A9" s="1095"/>
      <c r="B9" s="1097"/>
      <c r="C9" s="1097"/>
      <c r="D9" s="1097"/>
      <c r="E9" s="1097"/>
      <c r="F9" s="656" t="s">
        <v>67</v>
      </c>
      <c r="G9" s="656" t="s">
        <v>68</v>
      </c>
      <c r="H9" s="656" t="s">
        <v>69</v>
      </c>
      <c r="I9" s="656" t="s">
        <v>411</v>
      </c>
      <c r="J9" s="1099"/>
    </row>
    <row r="10" spans="1:13" ht="14.25" x14ac:dyDescent="0.2">
      <c r="A10" s="1095" t="s">
        <v>685</v>
      </c>
      <c r="B10" s="1097"/>
      <c r="C10" s="1097"/>
      <c r="D10" s="1097"/>
      <c r="E10" s="1097"/>
      <c r="F10" s="1097"/>
      <c r="G10" s="1097"/>
      <c r="H10" s="1097"/>
      <c r="I10" s="1097"/>
      <c r="J10" s="1099"/>
    </row>
    <row r="11" spans="1:13" ht="18.75" customHeight="1" x14ac:dyDescent="0.2">
      <c r="A11" s="658">
        <f>1</f>
        <v>1</v>
      </c>
      <c r="B11" s="659" t="s">
        <v>697</v>
      </c>
      <c r="C11" s="660">
        <v>593</v>
      </c>
      <c r="D11" s="660">
        <v>7.3</v>
      </c>
      <c r="E11" s="661">
        <f t="shared" ref="E11:E12" si="0">D11*C11</f>
        <v>4328.8999999999996</v>
      </c>
      <c r="F11" s="551" t="s">
        <v>702</v>
      </c>
      <c r="G11" s="370">
        <v>6</v>
      </c>
      <c r="H11" s="552">
        <v>28.76</v>
      </c>
      <c r="I11" s="553">
        <f>H11*G11</f>
        <v>172.56</v>
      </c>
      <c r="J11" s="657">
        <f>+I11+E11</f>
        <v>4501.46</v>
      </c>
      <c r="K11" s="294"/>
      <c r="L11" s="893"/>
      <c r="M11" s="294"/>
    </row>
    <row r="12" spans="1:13" ht="18.75" customHeight="1" x14ac:dyDescent="0.2">
      <c r="A12" s="924">
        <f>A11+1</f>
        <v>2</v>
      </c>
      <c r="B12" s="659" t="s">
        <v>696</v>
      </c>
      <c r="C12" s="925">
        <v>593</v>
      </c>
      <c r="D12" s="925">
        <v>7.3</v>
      </c>
      <c r="E12" s="926">
        <f t="shared" si="0"/>
        <v>4328.8999999999996</v>
      </c>
      <c r="F12" s="551" t="s">
        <v>702</v>
      </c>
      <c r="G12" s="370">
        <v>6</v>
      </c>
      <c r="H12" s="552">
        <v>28.76</v>
      </c>
      <c r="I12" s="553">
        <f t="shared" ref="I12:I13" si="1">H12*G12</f>
        <v>172.56</v>
      </c>
      <c r="J12" s="657">
        <f>+I12+E12</f>
        <v>4501.46</v>
      </c>
      <c r="K12" s="294"/>
      <c r="M12" s="294"/>
    </row>
    <row r="13" spans="1:13" ht="18.75" customHeight="1" x14ac:dyDescent="0.2">
      <c r="A13" s="924">
        <f t="shared" ref="A13:A22" si="2">A12+1</f>
        <v>3</v>
      </c>
      <c r="B13" s="659" t="s">
        <v>703</v>
      </c>
      <c r="C13" s="660">
        <v>593</v>
      </c>
      <c r="D13" s="925">
        <v>7.3</v>
      </c>
      <c r="E13" s="661">
        <f t="shared" ref="E13:E21" si="3">D13*C13</f>
        <v>4328.8999999999996</v>
      </c>
      <c r="F13" s="551" t="s">
        <v>702</v>
      </c>
      <c r="G13" s="370">
        <v>4</v>
      </c>
      <c r="H13" s="552">
        <v>28.76</v>
      </c>
      <c r="I13" s="553">
        <f t="shared" si="1"/>
        <v>115.04</v>
      </c>
      <c r="J13" s="657">
        <f t="shared" ref="J13" si="4">+I13+E13</f>
        <v>4443.9399999999996</v>
      </c>
      <c r="K13" s="294"/>
      <c r="M13" s="294"/>
    </row>
    <row r="14" spans="1:13" ht="18.75" customHeight="1" x14ac:dyDescent="0.2">
      <c r="A14" s="924">
        <f t="shared" si="2"/>
        <v>4</v>
      </c>
      <c r="B14" s="659" t="s">
        <v>699</v>
      </c>
      <c r="C14" s="660">
        <v>734.1</v>
      </c>
      <c r="D14" s="925">
        <v>7.3</v>
      </c>
      <c r="E14" s="661">
        <f t="shared" si="3"/>
        <v>5358.93</v>
      </c>
      <c r="F14" s="551" t="s">
        <v>702</v>
      </c>
      <c r="G14" s="370">
        <v>4</v>
      </c>
      <c r="H14" s="552">
        <v>28.76</v>
      </c>
      <c r="I14" s="553">
        <f t="shared" ref="I14:I21" si="5">H14*G14</f>
        <v>115.04</v>
      </c>
      <c r="J14" s="657">
        <f t="shared" ref="J14:J21" si="6">+I14+E14</f>
        <v>5473.97</v>
      </c>
      <c r="K14" s="294"/>
      <c r="M14" s="294"/>
    </row>
    <row r="15" spans="1:13" ht="18.75" customHeight="1" x14ac:dyDescent="0.2">
      <c r="A15" s="924">
        <f t="shared" si="2"/>
        <v>5</v>
      </c>
      <c r="B15" s="659" t="s">
        <v>700</v>
      </c>
      <c r="C15" s="660">
        <v>267.63</v>
      </c>
      <c r="D15" s="925">
        <v>7.3</v>
      </c>
      <c r="E15" s="661">
        <f t="shared" si="3"/>
        <v>1953.7</v>
      </c>
      <c r="F15" s="551" t="s">
        <v>702</v>
      </c>
      <c r="G15" s="370">
        <v>1</v>
      </c>
      <c r="H15" s="552">
        <v>28.76</v>
      </c>
      <c r="I15" s="553">
        <f t="shared" si="5"/>
        <v>28.76</v>
      </c>
      <c r="J15" s="657">
        <f t="shared" si="6"/>
        <v>1982.46</v>
      </c>
      <c r="K15" s="294">
        <v>225.51</v>
      </c>
      <c r="M15" s="294"/>
    </row>
    <row r="16" spans="1:13" ht="18.75" customHeight="1" x14ac:dyDescent="0.2">
      <c r="A16" s="924">
        <f t="shared" si="2"/>
        <v>6</v>
      </c>
      <c r="B16" s="659" t="s">
        <v>698</v>
      </c>
      <c r="C16" s="660">
        <v>215.41</v>
      </c>
      <c r="D16" s="925">
        <v>7.3</v>
      </c>
      <c r="E16" s="661">
        <f t="shared" si="3"/>
        <v>1572.49</v>
      </c>
      <c r="F16" s="551" t="s">
        <v>706</v>
      </c>
      <c r="G16" s="370">
        <v>1</v>
      </c>
      <c r="H16" s="552">
        <v>198.21</v>
      </c>
      <c r="I16" s="553">
        <f t="shared" si="5"/>
        <v>198.21</v>
      </c>
      <c r="J16" s="657">
        <f t="shared" si="6"/>
        <v>1770.7</v>
      </c>
      <c r="K16" s="294"/>
      <c r="M16" s="294"/>
    </row>
    <row r="17" spans="1:13" ht="18.75" customHeight="1" x14ac:dyDescent="0.2">
      <c r="A17" s="924">
        <f t="shared" si="2"/>
        <v>7</v>
      </c>
      <c r="B17" s="659" t="s">
        <v>701</v>
      </c>
      <c r="C17" s="660">
        <v>215.6</v>
      </c>
      <c r="D17" s="925">
        <v>7.3</v>
      </c>
      <c r="E17" s="661">
        <f t="shared" si="3"/>
        <v>1573.88</v>
      </c>
      <c r="F17" s="551"/>
      <c r="G17" s="370"/>
      <c r="H17" s="552"/>
      <c r="I17" s="553">
        <f t="shared" si="5"/>
        <v>0</v>
      </c>
      <c r="J17" s="657">
        <f t="shared" si="6"/>
        <v>1573.88</v>
      </c>
      <c r="K17" s="294"/>
      <c r="M17" s="294"/>
    </row>
    <row r="18" spans="1:13" ht="18.75" customHeight="1" x14ac:dyDescent="0.2">
      <c r="A18" s="924">
        <f t="shared" si="2"/>
        <v>8</v>
      </c>
      <c r="B18" s="659" t="s">
        <v>705</v>
      </c>
      <c r="C18" s="660">
        <v>219.5</v>
      </c>
      <c r="D18" s="925">
        <v>7.3</v>
      </c>
      <c r="E18" s="661">
        <f t="shared" si="3"/>
        <v>1602.35</v>
      </c>
      <c r="F18" s="551"/>
      <c r="G18" s="370"/>
      <c r="H18" s="552"/>
      <c r="I18" s="553">
        <f t="shared" si="5"/>
        <v>0</v>
      </c>
      <c r="J18" s="657">
        <f t="shared" si="6"/>
        <v>1602.35</v>
      </c>
      <c r="K18" s="294"/>
      <c r="M18" s="294"/>
    </row>
    <row r="19" spans="1:13" ht="18.75" customHeight="1" x14ac:dyDescent="0.2">
      <c r="A19" s="993">
        <f t="shared" si="2"/>
        <v>9</v>
      </c>
      <c r="B19" s="659" t="s">
        <v>735</v>
      </c>
      <c r="C19" s="660">
        <v>421.28</v>
      </c>
      <c r="D19" s="992">
        <v>7.3</v>
      </c>
      <c r="E19" s="661">
        <f t="shared" si="3"/>
        <v>3075.34</v>
      </c>
      <c r="F19" s="551" t="s">
        <v>702</v>
      </c>
      <c r="G19" s="370">
        <v>2</v>
      </c>
      <c r="H19" s="552">
        <v>28.76</v>
      </c>
      <c r="I19" s="553">
        <f t="shared" si="5"/>
        <v>57.52</v>
      </c>
      <c r="J19" s="657">
        <f t="shared" si="6"/>
        <v>3132.86</v>
      </c>
      <c r="K19" s="294"/>
      <c r="M19" s="294"/>
    </row>
    <row r="20" spans="1:13" ht="18.75" customHeight="1" x14ac:dyDescent="0.2">
      <c r="A20" s="993">
        <f t="shared" si="2"/>
        <v>10</v>
      </c>
      <c r="B20" s="659" t="s">
        <v>732</v>
      </c>
      <c r="C20" s="660">
        <v>497.28</v>
      </c>
      <c r="D20" s="992">
        <v>7.3</v>
      </c>
      <c r="E20" s="661">
        <f t="shared" si="3"/>
        <v>3630.14</v>
      </c>
      <c r="F20" s="551" t="s">
        <v>702</v>
      </c>
      <c r="G20" s="370">
        <v>2</v>
      </c>
      <c r="H20" s="552">
        <v>28.76</v>
      </c>
      <c r="I20" s="553">
        <f t="shared" si="5"/>
        <v>57.52</v>
      </c>
      <c r="J20" s="657">
        <f t="shared" si="6"/>
        <v>3687.66</v>
      </c>
      <c r="K20" s="294"/>
      <c r="M20" s="294"/>
    </row>
    <row r="21" spans="1:13" ht="18.75" customHeight="1" x14ac:dyDescent="0.2">
      <c r="A21" s="993">
        <f t="shared" si="2"/>
        <v>11</v>
      </c>
      <c r="B21" s="659" t="s">
        <v>733</v>
      </c>
      <c r="C21" s="660">
        <v>315.99</v>
      </c>
      <c r="D21" s="992">
        <v>6.8</v>
      </c>
      <c r="E21" s="661">
        <f t="shared" si="3"/>
        <v>2148.73</v>
      </c>
      <c r="F21" s="551" t="s">
        <v>702</v>
      </c>
      <c r="G21" s="370">
        <v>1</v>
      </c>
      <c r="H21" s="552">
        <v>28.76</v>
      </c>
      <c r="I21" s="553">
        <f t="shared" si="5"/>
        <v>28.76</v>
      </c>
      <c r="J21" s="657">
        <f t="shared" si="6"/>
        <v>2177.4899999999998</v>
      </c>
      <c r="K21" s="294"/>
      <c r="M21" s="294"/>
    </row>
    <row r="22" spans="1:13" ht="18.75" customHeight="1" x14ac:dyDescent="0.2">
      <c r="A22" s="993">
        <f t="shared" si="2"/>
        <v>12</v>
      </c>
      <c r="B22" s="659" t="s">
        <v>734</v>
      </c>
      <c r="C22" s="660">
        <v>87.5</v>
      </c>
      <c r="D22" s="925">
        <v>7.3</v>
      </c>
      <c r="E22" s="661">
        <f t="shared" ref="E22" si="7">D22*C22</f>
        <v>638.75</v>
      </c>
      <c r="F22" s="551" t="s">
        <v>702</v>
      </c>
      <c r="G22" s="370">
        <v>2</v>
      </c>
      <c r="H22" s="552">
        <v>28.76</v>
      </c>
      <c r="I22" s="553">
        <f t="shared" ref="I22" si="8">H22*G22</f>
        <v>57.52</v>
      </c>
      <c r="J22" s="657">
        <f t="shared" ref="J22" si="9">+I22+E22</f>
        <v>696.27</v>
      </c>
      <c r="K22" s="976"/>
      <c r="M22" s="294"/>
    </row>
    <row r="23" spans="1:13" ht="18.75" customHeight="1" x14ac:dyDescent="0.2">
      <c r="A23" s="1100" t="s">
        <v>70</v>
      </c>
      <c r="B23" s="1101"/>
      <c r="C23" s="554">
        <f>SUM(C11:C22)</f>
        <v>4753.29</v>
      </c>
      <c r="D23" s="554"/>
      <c r="E23" s="554">
        <f>SUM(E11:E22)</f>
        <v>34541.01</v>
      </c>
      <c r="F23" s="551"/>
      <c r="G23" s="555"/>
      <c r="H23" s="551"/>
      <c r="I23" s="554">
        <f>SUM(I11:I22)</f>
        <v>1003.49</v>
      </c>
      <c r="J23" s="556">
        <f>SUM(J11:J22)</f>
        <v>35544.5</v>
      </c>
      <c r="K23" s="294"/>
      <c r="M23" s="294"/>
    </row>
    <row r="24" spans="1:13" ht="18.75" customHeight="1" thickBot="1" x14ac:dyDescent="0.25">
      <c r="A24" s="1087" t="s">
        <v>71</v>
      </c>
      <c r="B24" s="1088"/>
      <c r="C24" s="1089">
        <f>I23+E23</f>
        <v>35544.5</v>
      </c>
      <c r="D24" s="1089"/>
      <c r="E24" s="1089"/>
      <c r="F24" s="1089"/>
      <c r="G24" s="1089"/>
      <c r="H24" s="1089"/>
      <c r="I24" s="1089"/>
      <c r="J24" s="1090"/>
      <c r="K24" s="294"/>
      <c r="M24" s="294"/>
    </row>
    <row r="25" spans="1:13" ht="14.25" x14ac:dyDescent="0.2">
      <c r="A25" s="38"/>
      <c r="B25" s="38"/>
      <c r="C25" s="39"/>
      <c r="D25" s="39"/>
      <c r="E25" s="39"/>
      <c r="F25" s="39"/>
      <c r="G25" s="39"/>
      <c r="H25" s="39"/>
      <c r="I25" s="39"/>
      <c r="J25" s="39"/>
      <c r="K25" s="294"/>
      <c r="M25" s="294"/>
    </row>
    <row r="26" spans="1:13" ht="14.25" x14ac:dyDescent="0.2">
      <c r="B26" s="918" t="s">
        <v>640</v>
      </c>
    </row>
    <row r="27" spans="1:13" x14ac:dyDescent="0.2">
      <c r="B27" s="895" t="s">
        <v>567</v>
      </c>
    </row>
    <row r="28" spans="1:13" x14ac:dyDescent="0.2">
      <c r="B28" s="919" t="s">
        <v>641</v>
      </c>
      <c r="H28" s="759"/>
    </row>
  </sheetData>
  <mergeCells count="21">
    <mergeCell ref="I3:J6"/>
    <mergeCell ref="B3:H3"/>
    <mergeCell ref="A1:J1"/>
    <mergeCell ref="A2:J2"/>
    <mergeCell ref="B6:D6"/>
    <mergeCell ref="F6:G6"/>
    <mergeCell ref="F5:H5"/>
    <mergeCell ref="B5:D5"/>
    <mergeCell ref="B4:H4"/>
    <mergeCell ref="A24:B24"/>
    <mergeCell ref="C24:J24"/>
    <mergeCell ref="A7:J7"/>
    <mergeCell ref="A8:A9"/>
    <mergeCell ref="B8:B9"/>
    <mergeCell ref="C8:C9"/>
    <mergeCell ref="D8:D9"/>
    <mergeCell ref="E8:E9"/>
    <mergeCell ref="F8:I8"/>
    <mergeCell ref="J8:J9"/>
    <mergeCell ref="A23:B23"/>
    <mergeCell ref="A10:J10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68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R30"/>
  <sheetViews>
    <sheetView view="pageBreakPreview" zoomScaleSheetLayoutView="100" workbookViewId="0">
      <selection activeCell="R18" sqref="R18"/>
    </sheetView>
  </sheetViews>
  <sheetFormatPr defaultColWidth="9.140625" defaultRowHeight="12.75" x14ac:dyDescent="0.2"/>
  <cols>
    <col min="1" max="1" width="12" style="269" customWidth="1"/>
    <col min="2" max="2" width="45.140625" style="269" customWidth="1"/>
    <col min="3" max="3" width="12.28515625" style="269" customWidth="1"/>
    <col min="4" max="4" width="10.140625" style="269" customWidth="1"/>
    <col min="5" max="5" width="10.85546875" style="269" customWidth="1"/>
    <col min="6" max="7" width="12" style="269" hidden="1" customWidth="1"/>
    <col min="8" max="8" width="10.85546875" style="269" hidden="1" customWidth="1"/>
    <col min="9" max="9" width="11" style="269" hidden="1" customWidth="1"/>
    <col min="10" max="10" width="11.5703125" style="269" customWidth="1"/>
    <col min="11" max="11" width="9.28515625" style="269" customWidth="1"/>
    <col min="12" max="12" width="9.85546875" style="269" customWidth="1"/>
    <col min="13" max="13" width="9.5703125" style="269" customWidth="1"/>
    <col min="14" max="14" width="9.28515625" style="269" customWidth="1"/>
    <col min="15" max="15" width="9.7109375" style="269" customWidth="1"/>
    <col min="16" max="16" width="11.28515625" style="269" bestFit="1" customWidth="1"/>
    <col min="17" max="17" width="9.140625" style="268"/>
    <col min="18" max="18" width="10" style="268" bestFit="1" customWidth="1"/>
    <col min="19" max="16384" width="9.140625" style="268"/>
  </cols>
  <sheetData>
    <row r="1" spans="1:16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3"/>
    </row>
    <row r="2" spans="1:16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6"/>
    </row>
    <row r="3" spans="1:16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4"/>
    </row>
    <row r="4" spans="1:16" ht="15" customHeight="1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053"/>
      <c r="J4" s="1053"/>
      <c r="K4" s="1053"/>
      <c r="L4" s="1134" t="str">
        <f>Terrap.!I3</f>
        <v>SINAPI - JULHO / 2020    DESONERADO                                                                                                                           SICRO 10/2019</v>
      </c>
      <c r="M4" s="1135"/>
      <c r="N4" s="1135"/>
      <c r="O4" s="1135"/>
      <c r="P4" s="1136"/>
    </row>
    <row r="5" spans="1:16" ht="15.75" customHeight="1" x14ac:dyDescent="0.2">
      <c r="A5" s="385" t="s">
        <v>58</v>
      </c>
      <c r="B5" s="396" t="str">
        <f>Terrap.!B5</f>
        <v xml:space="preserve">PREFEITURA MUNICIPAL DE BARRA DO BUGRES </v>
      </c>
      <c r="C5" s="396"/>
      <c r="D5" s="396"/>
      <c r="E5" s="387" t="s">
        <v>362</v>
      </c>
      <c r="F5" s="1055" t="str">
        <f>Terrap.!F5</f>
        <v>AGOSTO 2020</v>
      </c>
      <c r="G5" s="1055"/>
      <c r="H5" s="1055"/>
      <c r="I5" s="1055"/>
      <c r="J5" s="1055"/>
      <c r="K5" s="1055"/>
      <c r="L5" s="1137"/>
      <c r="M5" s="1138"/>
      <c r="N5" s="1138"/>
      <c r="O5" s="1138"/>
      <c r="P5" s="1139"/>
    </row>
    <row r="6" spans="1:16" ht="15.75" thickBot="1" x14ac:dyDescent="0.25">
      <c r="A6" s="388" t="s">
        <v>59</v>
      </c>
      <c r="B6" s="697">
        <f>Pavim.!B6</f>
        <v>31131.72</v>
      </c>
      <c r="C6" s="697"/>
      <c r="D6" s="697"/>
      <c r="E6" s="389" t="s">
        <v>60</v>
      </c>
      <c r="F6" s="1143">
        <f>Terrap.!F6</f>
        <v>0.25640000000000002</v>
      </c>
      <c r="G6" s="1143"/>
      <c r="H6" s="1143"/>
      <c r="I6" s="1143"/>
      <c r="J6" s="1143"/>
      <c r="K6" s="698" t="s">
        <v>61</v>
      </c>
      <c r="L6" s="1140"/>
      <c r="M6" s="1141"/>
      <c r="N6" s="1141"/>
      <c r="O6" s="1141"/>
      <c r="P6" s="1142"/>
    </row>
    <row r="7" spans="1:16" ht="18.75" customHeight="1" thickBot="1" x14ac:dyDescent="0.25">
      <c r="A7" s="1091" t="s">
        <v>320</v>
      </c>
      <c r="B7" s="1092"/>
      <c r="C7" s="1092"/>
      <c r="D7" s="1092"/>
      <c r="E7" s="1092"/>
      <c r="F7" s="1092"/>
      <c r="G7" s="1092"/>
      <c r="H7" s="1092"/>
      <c r="I7" s="1092"/>
      <c r="J7" s="1092"/>
      <c r="K7" s="1092"/>
      <c r="L7" s="1092"/>
      <c r="M7" s="1092"/>
      <c r="N7" s="1092"/>
      <c r="O7" s="1092"/>
      <c r="P7" s="1093"/>
    </row>
    <row r="8" spans="1:16" ht="26.25" customHeight="1" x14ac:dyDescent="0.2">
      <c r="A8" s="1125" t="s">
        <v>62</v>
      </c>
      <c r="B8" s="1126" t="s">
        <v>63</v>
      </c>
      <c r="C8" s="1127" t="s">
        <v>66</v>
      </c>
      <c r="D8" s="1127" t="s">
        <v>321</v>
      </c>
      <c r="E8" s="1127" t="s">
        <v>322</v>
      </c>
      <c r="F8" s="1127" t="s">
        <v>323</v>
      </c>
      <c r="G8" s="1127"/>
      <c r="H8" s="1127"/>
      <c r="I8" s="1127"/>
      <c r="J8" s="1127" t="s">
        <v>324</v>
      </c>
      <c r="K8" s="1127" t="s">
        <v>325</v>
      </c>
      <c r="L8" s="1127" t="s">
        <v>326</v>
      </c>
      <c r="M8" s="1127" t="s">
        <v>577</v>
      </c>
      <c r="N8" s="1127" t="s">
        <v>578</v>
      </c>
      <c r="O8" s="1132" t="s">
        <v>579</v>
      </c>
      <c r="P8" s="1132" t="s">
        <v>585</v>
      </c>
    </row>
    <row r="9" spans="1:16" ht="15.75" customHeight="1" thickBot="1" x14ac:dyDescent="0.25">
      <c r="A9" s="1123"/>
      <c r="B9" s="1124"/>
      <c r="C9" s="1128"/>
      <c r="D9" s="1128"/>
      <c r="E9" s="1128"/>
      <c r="F9" s="972" t="s">
        <v>327</v>
      </c>
      <c r="G9" s="972" t="s">
        <v>328</v>
      </c>
      <c r="H9" s="972" t="s">
        <v>329</v>
      </c>
      <c r="I9" s="972" t="s">
        <v>330</v>
      </c>
      <c r="J9" s="1128"/>
      <c r="K9" s="1128"/>
      <c r="L9" s="1128"/>
      <c r="M9" s="1128"/>
      <c r="N9" s="1128"/>
      <c r="O9" s="1133"/>
      <c r="P9" s="1133"/>
    </row>
    <row r="10" spans="1:16" ht="15.75" customHeight="1" x14ac:dyDescent="0.2">
      <c r="A10" s="1129" t="str">
        <f>Terrap.!A10</f>
        <v>TRECHO 03</v>
      </c>
      <c r="B10" s="1130"/>
      <c r="C10" s="1130"/>
      <c r="D10" s="1130"/>
      <c r="E10" s="1130"/>
      <c r="F10" s="1130"/>
      <c r="G10" s="1130"/>
      <c r="H10" s="1130"/>
      <c r="I10" s="1130"/>
      <c r="J10" s="1130"/>
      <c r="K10" s="1130"/>
      <c r="L10" s="1130"/>
      <c r="M10" s="1130"/>
      <c r="N10" s="1130"/>
      <c r="O10" s="1130"/>
      <c r="P10" s="1131"/>
    </row>
    <row r="11" spans="1:16" x14ac:dyDescent="0.2">
      <c r="A11" s="541">
        <f>Terrap.!A11</f>
        <v>1</v>
      </c>
      <c r="B11" s="542" t="str">
        <f>Terrap.!B11</f>
        <v>RUAS DAS MARGARIDAS</v>
      </c>
      <c r="C11" s="543">
        <f>Terrap.!J11</f>
        <v>4501.46</v>
      </c>
      <c r="D11" s="544">
        <v>0.15</v>
      </c>
      <c r="E11" s="544">
        <v>0.15</v>
      </c>
      <c r="F11" s="545"/>
      <c r="G11" s="545"/>
      <c r="H11" s="545"/>
      <c r="I11" s="545">
        <f>F11*G11*H11</f>
        <v>0</v>
      </c>
      <c r="J11" s="545">
        <f>C11*D11</f>
        <v>675.22</v>
      </c>
      <c r="K11" s="545">
        <f>C11*E11-I11</f>
        <v>675.22</v>
      </c>
      <c r="L11" s="545">
        <f t="shared" ref="L11:L22" si="0">SUM(J11:K11)</f>
        <v>1350.44</v>
      </c>
      <c r="M11" s="544">
        <v>6.5</v>
      </c>
      <c r="N11" s="544">
        <v>27.2</v>
      </c>
      <c r="O11" s="544">
        <f>L11*M11</f>
        <v>8777.86</v>
      </c>
      <c r="P11" s="546">
        <f>L11*N11</f>
        <v>36731.97</v>
      </c>
    </row>
    <row r="12" spans="1:16" ht="13.5" customHeight="1" x14ac:dyDescent="0.2">
      <c r="A12" s="541">
        <f>Terrap.!A12</f>
        <v>2</v>
      </c>
      <c r="B12" s="542" t="str">
        <f>Terrap.!B12</f>
        <v>RUA DOS GIRASSÓIS</v>
      </c>
      <c r="C12" s="543">
        <f>Terrap.!J12</f>
        <v>4501.46</v>
      </c>
      <c r="D12" s="544">
        <f t="shared" ref="D12:E14" si="1">D11</f>
        <v>0.15</v>
      </c>
      <c r="E12" s="544">
        <f t="shared" si="1"/>
        <v>0.15</v>
      </c>
      <c r="F12" s="545"/>
      <c r="G12" s="545"/>
      <c r="H12" s="545"/>
      <c r="I12" s="545">
        <f t="shared" ref="I12:I13" si="2">F12*G12*H12</f>
        <v>0</v>
      </c>
      <c r="J12" s="545">
        <f t="shared" ref="J12:J14" si="3">C12*D12</f>
        <v>675.22</v>
      </c>
      <c r="K12" s="545">
        <f>C12*E12-I12</f>
        <v>675.22</v>
      </c>
      <c r="L12" s="545">
        <f t="shared" si="0"/>
        <v>1350.44</v>
      </c>
      <c r="M12" s="544">
        <f t="shared" ref="M12:N14" si="4">M11</f>
        <v>6.5</v>
      </c>
      <c r="N12" s="544">
        <f t="shared" si="4"/>
        <v>27.2</v>
      </c>
      <c r="O12" s="544">
        <f t="shared" ref="O12:O13" si="5">L12*M12</f>
        <v>8777.86</v>
      </c>
      <c r="P12" s="546">
        <f t="shared" ref="P12:P13" si="6">L12*N12</f>
        <v>36731.97</v>
      </c>
    </row>
    <row r="13" spans="1:16" ht="13.5" customHeight="1" x14ac:dyDescent="0.2">
      <c r="A13" s="541">
        <f>Terrap.!A13</f>
        <v>3</v>
      </c>
      <c r="B13" s="542" t="str">
        <f>Terrap.!B13</f>
        <v>RUAS DAS CEREJEIRAS</v>
      </c>
      <c r="C13" s="543">
        <f>Terrap.!J13</f>
        <v>4443.9399999999996</v>
      </c>
      <c r="D13" s="544">
        <f t="shared" si="1"/>
        <v>0.15</v>
      </c>
      <c r="E13" s="544">
        <f t="shared" si="1"/>
        <v>0.15</v>
      </c>
      <c r="F13" s="545"/>
      <c r="G13" s="545"/>
      <c r="H13" s="545"/>
      <c r="I13" s="545">
        <f t="shared" si="2"/>
        <v>0</v>
      </c>
      <c r="J13" s="545">
        <f t="shared" si="3"/>
        <v>666.59</v>
      </c>
      <c r="K13" s="545">
        <f t="shared" ref="K13" si="7">C13*E13-I13</f>
        <v>666.59</v>
      </c>
      <c r="L13" s="545">
        <f t="shared" si="0"/>
        <v>1333.18</v>
      </c>
      <c r="M13" s="544">
        <f t="shared" si="4"/>
        <v>6.5</v>
      </c>
      <c r="N13" s="544">
        <f t="shared" si="4"/>
        <v>27.2</v>
      </c>
      <c r="O13" s="544">
        <f t="shared" si="5"/>
        <v>8665.67</v>
      </c>
      <c r="P13" s="546">
        <f t="shared" si="6"/>
        <v>36262.5</v>
      </c>
    </row>
    <row r="14" spans="1:16" ht="13.5" customHeight="1" x14ac:dyDescent="0.2">
      <c r="A14" s="541">
        <f>Terrap.!A14</f>
        <v>4</v>
      </c>
      <c r="B14" s="542" t="str">
        <f>Terrap.!B14</f>
        <v>RUA DAS JARACATIÁS</v>
      </c>
      <c r="C14" s="543">
        <f>Terrap.!J14</f>
        <v>5473.97</v>
      </c>
      <c r="D14" s="544">
        <f t="shared" si="1"/>
        <v>0.15</v>
      </c>
      <c r="E14" s="544">
        <f t="shared" si="1"/>
        <v>0.15</v>
      </c>
      <c r="F14" s="545"/>
      <c r="G14" s="545"/>
      <c r="H14" s="545"/>
      <c r="I14" s="545">
        <f t="shared" ref="I14:I22" si="8">F14*G14*H14</f>
        <v>0</v>
      </c>
      <c r="J14" s="545">
        <f t="shared" si="3"/>
        <v>821.1</v>
      </c>
      <c r="K14" s="545">
        <f t="shared" ref="K14:K22" si="9">C14*E14-I14</f>
        <v>821.1</v>
      </c>
      <c r="L14" s="545">
        <f t="shared" si="0"/>
        <v>1642.2</v>
      </c>
      <c r="M14" s="544">
        <f t="shared" si="4"/>
        <v>6.5</v>
      </c>
      <c r="N14" s="544">
        <f t="shared" si="4"/>
        <v>27.2</v>
      </c>
      <c r="O14" s="544">
        <f t="shared" ref="O14:O22" si="10">L14*M14</f>
        <v>10674.3</v>
      </c>
      <c r="P14" s="546">
        <f t="shared" ref="P14:P22" si="11">L14*N14</f>
        <v>44667.839999999997</v>
      </c>
    </row>
    <row r="15" spans="1:16" ht="13.5" customHeight="1" x14ac:dyDescent="0.2">
      <c r="A15" s="541">
        <f>Terrap.!A15</f>
        <v>5</v>
      </c>
      <c r="B15" s="542" t="str">
        <f>Terrap.!B15</f>
        <v>AV CONSTITUINTE</v>
      </c>
      <c r="C15" s="543">
        <f>Terrap.!J15</f>
        <v>1982.46</v>
      </c>
      <c r="D15" s="544">
        <f t="shared" ref="D15:D22" si="12">D14</f>
        <v>0.15</v>
      </c>
      <c r="E15" s="544">
        <f t="shared" ref="E15:E21" si="13">E14</f>
        <v>0.15</v>
      </c>
      <c r="F15" s="545"/>
      <c r="G15" s="545"/>
      <c r="H15" s="545"/>
      <c r="I15" s="545">
        <f t="shared" si="8"/>
        <v>0</v>
      </c>
      <c r="J15" s="545">
        <f t="shared" ref="J15:J22" si="14">C15*D15</f>
        <v>297.37</v>
      </c>
      <c r="K15" s="545">
        <f t="shared" si="9"/>
        <v>297.37</v>
      </c>
      <c r="L15" s="545">
        <f t="shared" si="0"/>
        <v>594.74</v>
      </c>
      <c r="M15" s="544">
        <f t="shared" ref="M15:M21" si="15">M14</f>
        <v>6.5</v>
      </c>
      <c r="N15" s="544">
        <f t="shared" ref="N15:N21" si="16">N14</f>
        <v>27.2</v>
      </c>
      <c r="O15" s="544">
        <f t="shared" si="10"/>
        <v>3865.81</v>
      </c>
      <c r="P15" s="546">
        <f t="shared" si="11"/>
        <v>16176.93</v>
      </c>
    </row>
    <row r="16" spans="1:16" ht="13.5" customHeight="1" x14ac:dyDescent="0.2">
      <c r="A16" s="541">
        <f>Terrap.!A16</f>
        <v>6</v>
      </c>
      <c r="B16" s="542" t="str">
        <f>Terrap.!B16</f>
        <v>RUA FLAMBOYANT</v>
      </c>
      <c r="C16" s="543">
        <f>Terrap.!J16</f>
        <v>1770.7</v>
      </c>
      <c r="D16" s="544">
        <f t="shared" si="12"/>
        <v>0.15</v>
      </c>
      <c r="E16" s="544">
        <f t="shared" si="13"/>
        <v>0.15</v>
      </c>
      <c r="F16" s="545"/>
      <c r="G16" s="545"/>
      <c r="H16" s="545"/>
      <c r="I16" s="545">
        <f t="shared" si="8"/>
        <v>0</v>
      </c>
      <c r="J16" s="545">
        <f t="shared" si="14"/>
        <v>265.61</v>
      </c>
      <c r="K16" s="545">
        <f t="shared" si="9"/>
        <v>265.61</v>
      </c>
      <c r="L16" s="545">
        <f t="shared" si="0"/>
        <v>531.22</v>
      </c>
      <c r="M16" s="544">
        <f t="shared" si="15"/>
        <v>6.5</v>
      </c>
      <c r="N16" s="544">
        <f t="shared" si="16"/>
        <v>27.2</v>
      </c>
      <c r="O16" s="544">
        <f t="shared" si="10"/>
        <v>3452.93</v>
      </c>
      <c r="P16" s="546">
        <f t="shared" si="11"/>
        <v>14449.18</v>
      </c>
    </row>
    <row r="17" spans="1:18" ht="13.5" customHeight="1" x14ac:dyDescent="0.2">
      <c r="A17" s="541">
        <f>Terrap.!A17</f>
        <v>7</v>
      </c>
      <c r="B17" s="542" t="str">
        <f>Terrap.!B17</f>
        <v>RUA CAMPOS ELISIOS</v>
      </c>
      <c r="C17" s="543">
        <f>Terrap.!J17</f>
        <v>1573.88</v>
      </c>
      <c r="D17" s="544">
        <f t="shared" si="12"/>
        <v>0.15</v>
      </c>
      <c r="E17" s="544">
        <f t="shared" si="13"/>
        <v>0.15</v>
      </c>
      <c r="F17" s="545"/>
      <c r="G17" s="545"/>
      <c r="H17" s="545"/>
      <c r="I17" s="545">
        <f t="shared" si="8"/>
        <v>0</v>
      </c>
      <c r="J17" s="545">
        <f t="shared" si="14"/>
        <v>236.08</v>
      </c>
      <c r="K17" s="545">
        <f t="shared" si="9"/>
        <v>236.08</v>
      </c>
      <c r="L17" s="545">
        <f t="shared" si="0"/>
        <v>472.16</v>
      </c>
      <c r="M17" s="544">
        <f t="shared" si="15"/>
        <v>6.5</v>
      </c>
      <c r="N17" s="544">
        <f t="shared" si="16"/>
        <v>27.2</v>
      </c>
      <c r="O17" s="544">
        <f t="shared" si="10"/>
        <v>3069.04</v>
      </c>
      <c r="P17" s="546">
        <f t="shared" si="11"/>
        <v>12842.75</v>
      </c>
    </row>
    <row r="18" spans="1:18" ht="13.5" customHeight="1" x14ac:dyDescent="0.2">
      <c r="A18" s="541">
        <f>Terrap.!A18</f>
        <v>8</v>
      </c>
      <c r="B18" s="542" t="str">
        <f>Terrap.!B18</f>
        <v>RUA SAMAMBAIAS</v>
      </c>
      <c r="C18" s="543">
        <f>Terrap.!J18</f>
        <v>1602.35</v>
      </c>
      <c r="D18" s="544">
        <f t="shared" si="12"/>
        <v>0.15</v>
      </c>
      <c r="E18" s="544">
        <f t="shared" si="13"/>
        <v>0.15</v>
      </c>
      <c r="F18" s="545"/>
      <c r="G18" s="545"/>
      <c r="H18" s="545"/>
      <c r="I18" s="545">
        <f t="shared" si="8"/>
        <v>0</v>
      </c>
      <c r="J18" s="545">
        <f t="shared" si="14"/>
        <v>240.35</v>
      </c>
      <c r="K18" s="545">
        <f t="shared" si="9"/>
        <v>240.35</v>
      </c>
      <c r="L18" s="545">
        <f t="shared" si="0"/>
        <v>480.7</v>
      </c>
      <c r="M18" s="544">
        <f t="shared" si="15"/>
        <v>6.5</v>
      </c>
      <c r="N18" s="544">
        <f t="shared" si="16"/>
        <v>27.2</v>
      </c>
      <c r="O18" s="544">
        <f t="shared" si="10"/>
        <v>3124.55</v>
      </c>
      <c r="P18" s="546">
        <f t="shared" si="11"/>
        <v>13075.04</v>
      </c>
    </row>
    <row r="19" spans="1:18" ht="13.5" customHeight="1" x14ac:dyDescent="0.2">
      <c r="A19" s="541">
        <f>Terrap.!A19</f>
        <v>9</v>
      </c>
      <c r="B19" s="985" t="str">
        <f>Terrap.!B19</f>
        <v>RUA PARAÍSO</v>
      </c>
      <c r="C19" s="543">
        <f>Terrap.!J19</f>
        <v>3132.86</v>
      </c>
      <c r="D19" s="544">
        <f t="shared" si="12"/>
        <v>0.15</v>
      </c>
      <c r="E19" s="544">
        <f t="shared" si="13"/>
        <v>0.15</v>
      </c>
      <c r="F19" s="545"/>
      <c r="G19" s="545"/>
      <c r="H19" s="545"/>
      <c r="I19" s="545"/>
      <c r="J19" s="545">
        <f t="shared" si="14"/>
        <v>469.93</v>
      </c>
      <c r="K19" s="545">
        <f t="shared" si="9"/>
        <v>469.93</v>
      </c>
      <c r="L19" s="545">
        <f t="shared" si="0"/>
        <v>939.86</v>
      </c>
      <c r="M19" s="544">
        <f t="shared" si="15"/>
        <v>6.5</v>
      </c>
      <c r="N19" s="544">
        <f t="shared" si="16"/>
        <v>27.2</v>
      </c>
      <c r="O19" s="544">
        <f t="shared" si="10"/>
        <v>6109.09</v>
      </c>
      <c r="P19" s="546">
        <f t="shared" si="11"/>
        <v>25564.19</v>
      </c>
    </row>
    <row r="20" spans="1:18" ht="13.5" customHeight="1" x14ac:dyDescent="0.2">
      <c r="A20" s="541">
        <f>Terrap.!A20</f>
        <v>10</v>
      </c>
      <c r="B20" s="985" t="str">
        <f>Terrap.!B20</f>
        <v>RUA IMPERIAL</v>
      </c>
      <c r="C20" s="543">
        <f>Terrap.!J20</f>
        <v>3687.66</v>
      </c>
      <c r="D20" s="544">
        <f t="shared" si="12"/>
        <v>0.15</v>
      </c>
      <c r="E20" s="544">
        <f t="shared" si="13"/>
        <v>0.15</v>
      </c>
      <c r="F20" s="545"/>
      <c r="G20" s="545"/>
      <c r="H20" s="545"/>
      <c r="I20" s="545"/>
      <c r="J20" s="545">
        <f t="shared" si="14"/>
        <v>553.15</v>
      </c>
      <c r="K20" s="545">
        <f t="shared" si="9"/>
        <v>553.15</v>
      </c>
      <c r="L20" s="545">
        <f t="shared" si="0"/>
        <v>1106.3</v>
      </c>
      <c r="M20" s="544">
        <f t="shared" si="15"/>
        <v>6.5</v>
      </c>
      <c r="N20" s="544">
        <f t="shared" si="16"/>
        <v>27.2</v>
      </c>
      <c r="O20" s="544">
        <f t="shared" si="10"/>
        <v>7190.95</v>
      </c>
      <c r="P20" s="546">
        <f t="shared" si="11"/>
        <v>30091.360000000001</v>
      </c>
    </row>
    <row r="21" spans="1:18" ht="13.5" customHeight="1" x14ac:dyDescent="0.2">
      <c r="A21" s="541">
        <f>Terrap.!A21</f>
        <v>11</v>
      </c>
      <c r="B21" s="985" t="str">
        <f>Terrap.!B21</f>
        <v>RUA VIRTUDE</v>
      </c>
      <c r="C21" s="543">
        <f>Terrap.!J21</f>
        <v>2177.4899999999998</v>
      </c>
      <c r="D21" s="544">
        <f t="shared" si="12"/>
        <v>0.15</v>
      </c>
      <c r="E21" s="544">
        <f t="shared" si="13"/>
        <v>0.15</v>
      </c>
      <c r="F21" s="545"/>
      <c r="G21" s="545"/>
      <c r="H21" s="545"/>
      <c r="I21" s="545"/>
      <c r="J21" s="545">
        <f t="shared" si="14"/>
        <v>326.62</v>
      </c>
      <c r="K21" s="545">
        <f t="shared" si="9"/>
        <v>326.62</v>
      </c>
      <c r="L21" s="545">
        <f t="shared" si="0"/>
        <v>653.24</v>
      </c>
      <c r="M21" s="544">
        <f t="shared" si="15"/>
        <v>6.5</v>
      </c>
      <c r="N21" s="544">
        <f t="shared" si="16"/>
        <v>27.2</v>
      </c>
      <c r="O21" s="544">
        <f t="shared" si="10"/>
        <v>4246.0600000000004</v>
      </c>
      <c r="P21" s="546">
        <f t="shared" si="11"/>
        <v>17768.13</v>
      </c>
    </row>
    <row r="22" spans="1:18" ht="13.5" customHeight="1" x14ac:dyDescent="0.2">
      <c r="A22" s="541">
        <f>Terrap.!A22</f>
        <v>12</v>
      </c>
      <c r="B22" s="985" t="str">
        <f>Terrap.!B22</f>
        <v>AV. PRESIDENTE TANCREDO NEVES</v>
      </c>
      <c r="C22" s="543">
        <f>Terrap.!J22</f>
        <v>696.27</v>
      </c>
      <c r="D22" s="544">
        <f t="shared" si="12"/>
        <v>0.15</v>
      </c>
      <c r="E22" s="544">
        <f>E18</f>
        <v>0.15</v>
      </c>
      <c r="F22" s="545"/>
      <c r="G22" s="545"/>
      <c r="H22" s="545"/>
      <c r="I22" s="545">
        <f t="shared" si="8"/>
        <v>0</v>
      </c>
      <c r="J22" s="545">
        <f t="shared" si="14"/>
        <v>104.44</v>
      </c>
      <c r="K22" s="545">
        <f t="shared" si="9"/>
        <v>104.44</v>
      </c>
      <c r="L22" s="545">
        <f t="shared" si="0"/>
        <v>208.88</v>
      </c>
      <c r="M22" s="544">
        <f>M18</f>
        <v>6.5</v>
      </c>
      <c r="N22" s="544">
        <f>N18</f>
        <v>27.2</v>
      </c>
      <c r="O22" s="544">
        <f t="shared" si="10"/>
        <v>1357.72</v>
      </c>
      <c r="P22" s="546">
        <f t="shared" si="11"/>
        <v>5681.54</v>
      </c>
    </row>
    <row r="23" spans="1:18" ht="19.5" customHeight="1" thickBot="1" x14ac:dyDescent="0.25">
      <c r="A23" s="1123"/>
      <c r="B23" s="1124"/>
      <c r="C23" s="547">
        <f>SUM(C11:C22)</f>
        <v>35544.5</v>
      </c>
      <c r="D23" s="547"/>
      <c r="E23" s="547"/>
      <c r="F23" s="548"/>
      <c r="G23" s="548"/>
      <c r="H23" s="548"/>
      <c r="I23" s="548"/>
      <c r="J23" s="547">
        <f>SUM(J11:J22)</f>
        <v>5331.68</v>
      </c>
      <c r="K23" s="547">
        <f>SUM(K11:K22)</f>
        <v>5331.68</v>
      </c>
      <c r="L23" s="547">
        <f>SUM(L11:L22)</f>
        <v>10663.36</v>
      </c>
      <c r="M23" s="549"/>
      <c r="N23" s="549"/>
      <c r="O23" s="550">
        <f>SUM(O11:O22)</f>
        <v>69311.839999999997</v>
      </c>
      <c r="P23" s="550">
        <f>SUM(P11:P22)</f>
        <v>290043.40000000002</v>
      </c>
      <c r="R23" s="550"/>
    </row>
    <row r="25" spans="1:18" s="269" customFormat="1" x14ac:dyDescent="0.2">
      <c r="L25" s="270"/>
    </row>
    <row r="26" spans="1:18" s="269" customFormat="1" x14ac:dyDescent="0.2">
      <c r="B26" s="271" t="str">
        <f>Terrap.!B26</f>
        <v>Robson Darcio Sousa</v>
      </c>
      <c r="K26" s="270"/>
    </row>
    <row r="27" spans="1:18" s="269" customFormat="1" x14ac:dyDescent="0.2">
      <c r="B27" s="272" t="str">
        <f>Terrap.!B27</f>
        <v>ENGº CIVIL</v>
      </c>
    </row>
    <row r="28" spans="1:18" s="269" customFormat="1" x14ac:dyDescent="0.2">
      <c r="B28" s="272" t="str">
        <f>Terrap.!B28</f>
        <v>Crea: 120.263.916-0</v>
      </c>
      <c r="C28" s="270"/>
    </row>
    <row r="29" spans="1:18" s="269" customFormat="1" x14ac:dyDescent="0.2">
      <c r="C29" s="270"/>
    </row>
    <row r="30" spans="1:18" s="269" customFormat="1" x14ac:dyDescent="0.2">
      <c r="C30" s="270"/>
    </row>
  </sheetData>
  <mergeCells count="23">
    <mergeCell ref="O8:O9"/>
    <mergeCell ref="P8:P9"/>
    <mergeCell ref="B4:K4"/>
    <mergeCell ref="L4:P6"/>
    <mergeCell ref="F6:J6"/>
    <mergeCell ref="F5:K5"/>
    <mergeCell ref="N8:N9"/>
    <mergeCell ref="A1:P1"/>
    <mergeCell ref="A2:P2"/>
    <mergeCell ref="A23:B23"/>
    <mergeCell ref="B3:P3"/>
    <mergeCell ref="A7:P7"/>
    <mergeCell ref="A8:A9"/>
    <mergeCell ref="B8:B9"/>
    <mergeCell ref="C8:C9"/>
    <mergeCell ref="D8:D9"/>
    <mergeCell ref="E8:E9"/>
    <mergeCell ref="F8:I8"/>
    <mergeCell ref="J8:J9"/>
    <mergeCell ref="K8:K9"/>
    <mergeCell ref="L8:L9"/>
    <mergeCell ref="M8:M9"/>
    <mergeCell ref="A10:P10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M47"/>
  <sheetViews>
    <sheetView view="pageBreakPreview" zoomScale="85" zoomScaleSheetLayoutView="85" workbookViewId="0">
      <selection activeCell="H28" sqref="H28"/>
    </sheetView>
  </sheetViews>
  <sheetFormatPr defaultColWidth="11.42578125" defaultRowHeight="12.75" x14ac:dyDescent="0.2"/>
  <cols>
    <col min="1" max="1" width="12.85546875" style="273" customWidth="1"/>
    <col min="2" max="2" width="14.28515625" style="273" customWidth="1"/>
    <col min="3" max="3" width="8.7109375" style="273" customWidth="1"/>
    <col min="4" max="4" width="17.85546875" style="273" customWidth="1"/>
    <col min="5" max="5" width="16.7109375" style="468" customWidth="1"/>
    <col min="6" max="6" width="18.140625" style="273" customWidth="1"/>
    <col min="7" max="7" width="1.42578125" style="273" customWidth="1"/>
    <col min="8" max="8" width="16.42578125" style="273" customWidth="1"/>
    <col min="9" max="9" width="15" style="273" customWidth="1"/>
    <col min="10" max="11" width="11.5703125" style="273" customWidth="1"/>
    <col min="12" max="12" width="3.7109375" style="273" customWidth="1"/>
    <col min="13" max="13" width="15.7109375" style="273" customWidth="1"/>
    <col min="14" max="15" width="3.7109375" style="273" customWidth="1"/>
    <col min="16" max="16" width="8" style="273" bestFit="1" customWidth="1"/>
    <col min="17" max="19" width="3.7109375" style="273" customWidth="1"/>
    <col min="20" max="16384" width="11.42578125" style="273"/>
  </cols>
  <sheetData>
    <row r="1" spans="1:10" ht="15.75" x14ac:dyDescent="0.2">
      <c r="A1" s="1144" t="str">
        <f>Terrap.!A1</f>
        <v>ESTADO DE MATO GROSSO</v>
      </c>
      <c r="B1" s="1145"/>
      <c r="C1" s="1145"/>
      <c r="D1" s="1145"/>
      <c r="E1" s="1145"/>
      <c r="F1" s="1145"/>
      <c r="G1" s="1145"/>
      <c r="H1" s="1145"/>
      <c r="I1" s="1146"/>
    </row>
    <row r="2" spans="1:10" ht="15.75" x14ac:dyDescent="0.2">
      <c r="A2" s="1147" t="str">
        <f>Terrap.!A2</f>
        <v xml:space="preserve">PREFEITURA MUNICIPAL DE BARRA DO BUGRES </v>
      </c>
      <c r="B2" s="1148"/>
      <c r="C2" s="1148"/>
      <c r="D2" s="1148"/>
      <c r="E2" s="1148"/>
      <c r="F2" s="1148"/>
      <c r="G2" s="1148"/>
      <c r="H2" s="1148"/>
      <c r="I2" s="1149"/>
    </row>
    <row r="3" spans="1:10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054"/>
    </row>
    <row r="4" spans="1:10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162" t="s">
        <v>60</v>
      </c>
      <c r="H4" s="1162"/>
      <c r="I4" s="397">
        <f>Terrap.!F6</f>
        <v>0.25640000000000002</v>
      </c>
    </row>
    <row r="5" spans="1:10" ht="19.5" customHeight="1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464" t="s">
        <v>362</v>
      </c>
      <c r="F5" s="398" t="str">
        <f>Terrap.!F5</f>
        <v>AGOSTO 2020</v>
      </c>
      <c r="G5" s="1057" t="str">
        <f>Terrap.!I3</f>
        <v>SINAPI - JULHO / 2020    DESONERADO                                                                                                                           SICRO 10/2019</v>
      </c>
      <c r="H5" s="1057"/>
      <c r="I5" s="1058"/>
    </row>
    <row r="6" spans="1:10" ht="24" customHeight="1" thickBot="1" x14ac:dyDescent="0.25">
      <c r="A6" s="388" t="s">
        <v>59</v>
      </c>
      <c r="B6" s="1056">
        <f>Terrap.!B6</f>
        <v>31131.72</v>
      </c>
      <c r="C6" s="1056"/>
      <c r="D6" s="1056"/>
      <c r="E6" s="1056"/>
      <c r="F6" s="389" t="s">
        <v>61</v>
      </c>
      <c r="G6" s="1059"/>
      <c r="H6" s="1059"/>
      <c r="I6" s="1060"/>
    </row>
    <row r="7" spans="1:10" ht="20.25" customHeight="1" thickBot="1" x14ac:dyDescent="0.25">
      <c r="A7" s="1155" t="s">
        <v>309</v>
      </c>
      <c r="B7" s="1156"/>
      <c r="C7" s="1156"/>
      <c r="D7" s="1156"/>
      <c r="E7" s="1156"/>
      <c r="F7" s="1156"/>
      <c r="G7" s="1156"/>
      <c r="H7" s="1156"/>
      <c r="I7" s="1157"/>
    </row>
    <row r="8" spans="1:10" ht="15.75" customHeight="1" x14ac:dyDescent="0.2">
      <c r="A8" s="1152"/>
      <c r="B8" s="1153"/>
      <c r="C8" s="1153"/>
      <c r="D8" s="1154"/>
      <c r="E8" s="1158" t="s">
        <v>310</v>
      </c>
      <c r="F8" s="1158"/>
      <c r="G8" s="780"/>
      <c r="H8" s="1158" t="s">
        <v>311</v>
      </c>
      <c r="I8" s="1159"/>
    </row>
    <row r="9" spans="1:10" ht="44.25" customHeight="1" x14ac:dyDescent="0.2">
      <c r="A9" s="1160" t="s">
        <v>312</v>
      </c>
      <c r="B9" s="1161"/>
      <c r="C9" s="1161"/>
      <c r="D9" s="1161"/>
      <c r="E9" s="781" t="s">
        <v>364</v>
      </c>
      <c r="F9" s="782" t="s">
        <v>363</v>
      </c>
      <c r="G9" s="783"/>
      <c r="H9" s="783" t="s">
        <v>314</v>
      </c>
      <c r="I9" s="784" t="s">
        <v>313</v>
      </c>
    </row>
    <row r="10" spans="1:10" ht="15" x14ac:dyDescent="0.2">
      <c r="A10" s="1163" t="str">
        <f>Terrap.!A10</f>
        <v>TRECHO 03</v>
      </c>
      <c r="B10" s="1164"/>
      <c r="C10" s="1164"/>
      <c r="D10" s="1164"/>
      <c r="E10" s="1164"/>
      <c r="F10" s="1164"/>
      <c r="G10" s="1164"/>
      <c r="H10" s="1164"/>
      <c r="I10" s="1165"/>
    </row>
    <row r="11" spans="1:10" ht="15" customHeight="1" x14ac:dyDescent="0.2">
      <c r="A11" s="1150" t="str">
        <f>Terrap.!B11</f>
        <v>RUAS DAS MARGARIDAS</v>
      </c>
      <c r="B11" s="1151"/>
      <c r="C11" s="1151"/>
      <c r="D11" s="1151"/>
      <c r="E11" s="465">
        <f>'BASE E SUB'!L11</f>
        <v>1350.44</v>
      </c>
      <c r="F11" s="274">
        <v>0</v>
      </c>
      <c r="G11" s="274"/>
      <c r="H11" s="274">
        <f>E11</f>
        <v>1350.44</v>
      </c>
      <c r="I11" s="533">
        <f>F11</f>
        <v>0</v>
      </c>
      <c r="J11" s="275"/>
    </row>
    <row r="12" spans="1:10" ht="15" customHeight="1" x14ac:dyDescent="0.2">
      <c r="A12" s="1150" t="str">
        <f>Terrap.!B12</f>
        <v>RUA DOS GIRASSÓIS</v>
      </c>
      <c r="B12" s="1151"/>
      <c r="C12" s="1151"/>
      <c r="D12" s="1151"/>
      <c r="E12" s="465">
        <f>'BASE E SUB'!L12</f>
        <v>1350.44</v>
      </c>
      <c r="F12" s="274"/>
      <c r="G12" s="274"/>
      <c r="H12" s="274">
        <f>H11+E12</f>
        <v>2700.88</v>
      </c>
      <c r="I12" s="533">
        <f t="shared" ref="I12:I22" si="0">F12</f>
        <v>0</v>
      </c>
    </row>
    <row r="13" spans="1:10" ht="15" customHeight="1" x14ac:dyDescent="0.2">
      <c r="A13" s="1150" t="str">
        <f>Terrap.!B13</f>
        <v>RUAS DAS CEREJEIRAS</v>
      </c>
      <c r="B13" s="1151"/>
      <c r="C13" s="1151"/>
      <c r="D13" s="1151"/>
      <c r="E13" s="465">
        <f>'BASE E SUB'!L13</f>
        <v>1333.18</v>
      </c>
      <c r="F13" s="274"/>
      <c r="G13" s="274"/>
      <c r="H13" s="274">
        <f t="shared" ref="H13:H22" si="1">H12+E13</f>
        <v>4034.06</v>
      </c>
      <c r="I13" s="533">
        <f t="shared" si="0"/>
        <v>0</v>
      </c>
      <c r="J13" s="275"/>
    </row>
    <row r="14" spans="1:10" ht="15" customHeight="1" x14ac:dyDescent="0.2">
      <c r="A14" s="1150" t="str">
        <f>Terrap.!B14</f>
        <v>RUA DAS JARACATIÁS</v>
      </c>
      <c r="B14" s="1151"/>
      <c r="C14" s="1151"/>
      <c r="D14" s="1151"/>
      <c r="E14" s="465">
        <f>'BASE E SUB'!L14</f>
        <v>1642.2</v>
      </c>
      <c r="F14" s="274"/>
      <c r="G14" s="274"/>
      <c r="H14" s="274">
        <f t="shared" si="1"/>
        <v>5676.26</v>
      </c>
      <c r="I14" s="533">
        <f t="shared" si="0"/>
        <v>0</v>
      </c>
      <c r="J14" s="275"/>
    </row>
    <row r="15" spans="1:10" ht="15" customHeight="1" x14ac:dyDescent="0.2">
      <c r="A15" s="1150" t="str">
        <f>Terrap.!B15</f>
        <v>AV CONSTITUINTE</v>
      </c>
      <c r="B15" s="1151"/>
      <c r="C15" s="1151"/>
      <c r="D15" s="1151"/>
      <c r="E15" s="465">
        <f>'BASE E SUB'!L15</f>
        <v>594.74</v>
      </c>
      <c r="F15" s="274"/>
      <c r="G15" s="274"/>
      <c r="H15" s="274">
        <f t="shared" si="1"/>
        <v>6271</v>
      </c>
      <c r="I15" s="533">
        <f t="shared" si="0"/>
        <v>0</v>
      </c>
      <c r="J15" s="275"/>
    </row>
    <row r="16" spans="1:10" ht="15" customHeight="1" x14ac:dyDescent="0.2">
      <c r="A16" s="1150" t="str">
        <f>Terrap.!B16</f>
        <v>RUA FLAMBOYANT</v>
      </c>
      <c r="B16" s="1151"/>
      <c r="C16" s="1151"/>
      <c r="D16" s="1151"/>
      <c r="E16" s="465">
        <f>'BASE E SUB'!L16</f>
        <v>531.22</v>
      </c>
      <c r="F16" s="274"/>
      <c r="G16" s="274"/>
      <c r="H16" s="274">
        <f t="shared" si="1"/>
        <v>6802.22</v>
      </c>
      <c r="I16" s="533">
        <f t="shared" si="0"/>
        <v>0</v>
      </c>
      <c r="J16" s="275"/>
    </row>
    <row r="17" spans="1:10" ht="15" customHeight="1" x14ac:dyDescent="0.2">
      <c r="A17" s="1150" t="str">
        <f>Terrap.!B17</f>
        <v>RUA CAMPOS ELISIOS</v>
      </c>
      <c r="B17" s="1151"/>
      <c r="C17" s="1151"/>
      <c r="D17" s="1151"/>
      <c r="E17" s="465">
        <f>'BASE E SUB'!L17</f>
        <v>472.16</v>
      </c>
      <c r="F17" s="274"/>
      <c r="G17" s="274"/>
      <c r="H17" s="274">
        <f t="shared" si="1"/>
        <v>7274.38</v>
      </c>
      <c r="I17" s="533">
        <f t="shared" si="0"/>
        <v>0</v>
      </c>
      <c r="J17" s="275"/>
    </row>
    <row r="18" spans="1:10" ht="15" customHeight="1" x14ac:dyDescent="0.2">
      <c r="A18" s="1150" t="str">
        <f>Terrap.!B18</f>
        <v>RUA SAMAMBAIAS</v>
      </c>
      <c r="B18" s="1151"/>
      <c r="C18" s="1151"/>
      <c r="D18" s="1151"/>
      <c r="E18" s="465">
        <f>'BASE E SUB'!L18</f>
        <v>480.7</v>
      </c>
      <c r="F18" s="274"/>
      <c r="G18" s="274"/>
      <c r="H18" s="274">
        <f t="shared" si="1"/>
        <v>7755.08</v>
      </c>
      <c r="I18" s="533">
        <f t="shared" si="0"/>
        <v>0</v>
      </c>
      <c r="J18" s="275"/>
    </row>
    <row r="19" spans="1:10" ht="15" customHeight="1" x14ac:dyDescent="0.2">
      <c r="A19" s="1150" t="str">
        <f>Terrap.!B19</f>
        <v>RUA PARAÍSO</v>
      </c>
      <c r="B19" s="1151"/>
      <c r="C19" s="1151"/>
      <c r="D19" s="1151"/>
      <c r="E19" s="465">
        <f>'BASE E SUB'!L19</f>
        <v>939.86</v>
      </c>
      <c r="F19" s="274"/>
      <c r="G19" s="274"/>
      <c r="H19" s="274">
        <f t="shared" si="1"/>
        <v>8694.94</v>
      </c>
      <c r="I19" s="533"/>
      <c r="J19" s="275"/>
    </row>
    <row r="20" spans="1:10" ht="15" customHeight="1" x14ac:dyDescent="0.2">
      <c r="A20" s="1150" t="str">
        <f>Terrap.!B20</f>
        <v>RUA IMPERIAL</v>
      </c>
      <c r="B20" s="1151"/>
      <c r="C20" s="1151"/>
      <c r="D20" s="1151"/>
      <c r="E20" s="465">
        <f>'BASE E SUB'!L20</f>
        <v>1106.3</v>
      </c>
      <c r="F20" s="274"/>
      <c r="G20" s="274"/>
      <c r="H20" s="274">
        <f t="shared" si="1"/>
        <v>9801.24</v>
      </c>
      <c r="I20" s="533"/>
      <c r="J20" s="275"/>
    </row>
    <row r="21" spans="1:10" ht="15" customHeight="1" x14ac:dyDescent="0.2">
      <c r="A21" s="1150" t="str">
        <f>Terrap.!B21</f>
        <v>RUA VIRTUDE</v>
      </c>
      <c r="B21" s="1151"/>
      <c r="C21" s="1151"/>
      <c r="D21" s="1151"/>
      <c r="E21" s="465">
        <f>'BASE E SUB'!L21</f>
        <v>653.24</v>
      </c>
      <c r="F21" s="274"/>
      <c r="G21" s="274"/>
      <c r="H21" s="274">
        <f t="shared" si="1"/>
        <v>10454.48</v>
      </c>
      <c r="I21" s="533"/>
      <c r="J21" s="275"/>
    </row>
    <row r="22" spans="1:10" ht="15" customHeight="1" x14ac:dyDescent="0.2">
      <c r="A22" s="1150" t="str">
        <f>Terrap.!B22</f>
        <v>AV. PRESIDENTE TANCREDO NEVES</v>
      </c>
      <c r="B22" s="1151"/>
      <c r="C22" s="1151"/>
      <c r="D22" s="1151"/>
      <c r="E22" s="465">
        <f>'BASE E SUB'!L22</f>
        <v>208.88</v>
      </c>
      <c r="F22" s="274"/>
      <c r="G22" s="274"/>
      <c r="H22" s="274">
        <f t="shared" si="1"/>
        <v>10663.36</v>
      </c>
      <c r="I22" s="533">
        <f t="shared" si="0"/>
        <v>0</v>
      </c>
      <c r="J22" s="275"/>
    </row>
    <row r="23" spans="1:10" ht="15" customHeight="1" x14ac:dyDescent="0.2">
      <c r="A23" s="1150"/>
      <c r="B23" s="1151"/>
      <c r="C23" s="1151"/>
      <c r="D23" s="1151"/>
      <c r="E23" s="466"/>
      <c r="F23" s="779"/>
      <c r="G23" s="779"/>
      <c r="H23" s="274">
        <f t="shared" ref="H23" si="2">E23</f>
        <v>0</v>
      </c>
      <c r="I23" s="534"/>
    </row>
    <row r="24" spans="1:10" ht="15" customHeight="1" x14ac:dyDescent="0.2">
      <c r="A24" s="1175" t="s">
        <v>367</v>
      </c>
      <c r="B24" s="1176" t="s">
        <v>498</v>
      </c>
      <c r="C24" s="1177"/>
      <c r="D24" s="785" t="s">
        <v>499</v>
      </c>
      <c r="E24" s="1178">
        <f>B25*D25</f>
        <v>150.524</v>
      </c>
      <c r="F24" s="1168">
        <v>0</v>
      </c>
      <c r="G24" s="274"/>
      <c r="H24" s="1168">
        <f>H22+E24</f>
        <v>10813.884</v>
      </c>
      <c r="I24" s="1169">
        <f>F24</f>
        <v>0</v>
      </c>
      <c r="J24" s="275"/>
    </row>
    <row r="25" spans="1:10" ht="15" customHeight="1" x14ac:dyDescent="0.2">
      <c r="A25" s="1175"/>
      <c r="B25" s="1187">
        <f>Terrap.!I23</f>
        <v>1003.49</v>
      </c>
      <c r="C25" s="1177"/>
      <c r="D25" s="786">
        <v>0.15</v>
      </c>
      <c r="E25" s="1178"/>
      <c r="F25" s="1168"/>
      <c r="G25" s="779"/>
      <c r="H25" s="1168"/>
      <c r="I25" s="1169"/>
    </row>
    <row r="26" spans="1:10" ht="15" customHeight="1" x14ac:dyDescent="0.2">
      <c r="A26" s="1150"/>
      <c r="B26" s="1151"/>
      <c r="C26" s="1151"/>
      <c r="D26" s="1151"/>
      <c r="E26" s="466"/>
      <c r="F26" s="787"/>
      <c r="G26" s="779"/>
      <c r="H26" s="787"/>
      <c r="I26" s="534"/>
    </row>
    <row r="27" spans="1:10" ht="15" customHeight="1" x14ac:dyDescent="0.2">
      <c r="A27" s="1188" t="s">
        <v>315</v>
      </c>
      <c r="B27" s="1189"/>
      <c r="C27" s="1189"/>
      <c r="D27" s="1189"/>
      <c r="E27" s="467"/>
      <c r="F27" s="276"/>
      <c r="G27" s="276"/>
      <c r="H27" s="276">
        <f>H24</f>
        <v>10813.884</v>
      </c>
      <c r="I27" s="535">
        <f>I24</f>
        <v>0</v>
      </c>
    </row>
    <row r="28" spans="1:10" ht="15" customHeight="1" x14ac:dyDescent="0.2">
      <c r="A28" s="1150"/>
      <c r="B28" s="1151"/>
      <c r="C28" s="1151"/>
      <c r="D28" s="1151"/>
      <c r="E28" s="466"/>
      <c r="F28" s="779"/>
      <c r="G28" s="779"/>
      <c r="H28" s="779"/>
      <c r="I28" s="534"/>
    </row>
    <row r="29" spans="1:10" ht="13.5" thickBot="1" x14ac:dyDescent="0.25">
      <c r="A29" s="1172"/>
      <c r="B29" s="1173"/>
      <c r="C29" s="1173"/>
      <c r="D29" s="1174"/>
      <c r="E29" s="789"/>
      <c r="F29" s="788"/>
      <c r="G29" s="788"/>
      <c r="H29" s="788"/>
      <c r="I29" s="790"/>
    </row>
    <row r="30" spans="1:10" ht="13.5" thickBot="1" x14ac:dyDescent="0.25">
      <c r="A30" s="277" t="s">
        <v>316</v>
      </c>
      <c r="B30" s="278"/>
      <c r="C30" s="278"/>
      <c r="D30" s="278"/>
      <c r="E30" s="469"/>
      <c r="F30" s="278"/>
      <c r="G30" s="278"/>
      <c r="H30" s="278"/>
      <c r="I30" s="537"/>
    </row>
    <row r="31" spans="1:10" x14ac:dyDescent="0.2">
      <c r="A31" s="279"/>
      <c r="B31" s="280"/>
      <c r="C31" s="280"/>
      <c r="D31" s="280"/>
      <c r="E31" s="470"/>
      <c r="F31" s="280"/>
      <c r="G31" s="280"/>
      <c r="H31" s="281"/>
      <c r="I31" s="538"/>
    </row>
    <row r="32" spans="1:10" x14ac:dyDescent="0.2">
      <c r="A32" s="282"/>
      <c r="B32" s="283"/>
      <c r="C32" s="284"/>
      <c r="D32" s="283"/>
      <c r="E32" s="471"/>
      <c r="F32" s="1166" t="s">
        <v>317</v>
      </c>
      <c r="G32" s="1167"/>
      <c r="H32" s="834">
        <f>H27</f>
        <v>10813.884</v>
      </c>
      <c r="I32" s="539"/>
      <c r="J32" s="758">
        <f>'BASE E SUB'!L23</f>
        <v>10663.36</v>
      </c>
    </row>
    <row r="33" spans="1:13" x14ac:dyDescent="0.2">
      <c r="A33" s="282"/>
      <c r="B33" s="283"/>
      <c r="C33" s="284"/>
      <c r="D33" s="283"/>
      <c r="E33" s="471"/>
      <c r="F33" s="1166" t="s">
        <v>318</v>
      </c>
      <c r="G33" s="1167"/>
      <c r="H33" s="267">
        <f>I27</f>
        <v>0</v>
      </c>
      <c r="I33" s="536"/>
    </row>
    <row r="34" spans="1:13" x14ac:dyDescent="0.2">
      <c r="A34" s="282"/>
      <c r="B34" s="283"/>
      <c r="C34" s="284"/>
      <c r="D34" s="283"/>
      <c r="E34" s="471"/>
      <c r="F34" s="1170" t="s">
        <v>316</v>
      </c>
      <c r="G34" s="1171"/>
      <c r="H34" s="267">
        <f>H32-H33</f>
        <v>10813.884</v>
      </c>
      <c r="I34" s="540"/>
    </row>
    <row r="35" spans="1:13" x14ac:dyDescent="0.2">
      <c r="A35" s="282"/>
      <c r="B35" s="283"/>
      <c r="C35" s="284"/>
      <c r="D35" s="283"/>
      <c r="E35" s="471"/>
      <c r="F35" s="283"/>
      <c r="G35" s="285"/>
      <c r="H35" s="286"/>
      <c r="I35" s="540"/>
    </row>
    <row r="36" spans="1:13" s="288" customFormat="1" ht="19.5" customHeight="1" thickBot="1" x14ac:dyDescent="0.25">
      <c r="A36" s="1185" t="s">
        <v>319</v>
      </c>
      <c r="B36" s="1186"/>
      <c r="C36" s="1186"/>
      <c r="D36" s="1186"/>
      <c r="E36" s="1186"/>
      <c r="F36" s="1186"/>
      <c r="G36" s="1186"/>
      <c r="H36" s="1186"/>
      <c r="I36" s="754">
        <f>H34</f>
        <v>10813.884</v>
      </c>
      <c r="J36" s="287"/>
      <c r="K36" s="273"/>
      <c r="L36" s="273"/>
      <c r="M36" s="273"/>
    </row>
    <row r="37" spans="1:13" ht="21" customHeight="1" x14ac:dyDescent="0.2">
      <c r="A37" s="1179" t="s">
        <v>488</v>
      </c>
      <c r="B37" s="1180"/>
      <c r="C37" s="1180"/>
      <c r="D37" s="1180"/>
      <c r="E37" s="1180"/>
      <c r="F37" s="1180"/>
      <c r="G37" s="1180"/>
      <c r="H37" s="1180"/>
      <c r="I37" s="755">
        <v>2</v>
      </c>
    </row>
    <row r="38" spans="1:13" ht="21" customHeight="1" x14ac:dyDescent="0.2">
      <c r="A38" s="1181" t="s">
        <v>487</v>
      </c>
      <c r="B38" s="1182"/>
      <c r="C38" s="1182"/>
      <c r="D38" s="1182"/>
      <c r="E38" s="1182"/>
      <c r="F38" s="1182"/>
      <c r="G38" s="1182"/>
      <c r="H38" s="1182"/>
      <c r="I38" s="756">
        <v>1</v>
      </c>
    </row>
    <row r="39" spans="1:13" ht="21" customHeight="1" thickBot="1" x14ac:dyDescent="0.25">
      <c r="A39" s="1183" t="s">
        <v>580</v>
      </c>
      <c r="B39" s="1184"/>
      <c r="C39" s="1184"/>
      <c r="D39" s="1184"/>
      <c r="E39" s="1184"/>
      <c r="F39" s="1184"/>
      <c r="G39" s="1184"/>
      <c r="H39" s="1184"/>
      <c r="I39" s="757">
        <f>TRUNC(I36*I37*I38,3)</f>
        <v>21627.768</v>
      </c>
    </row>
    <row r="40" spans="1:13" x14ac:dyDescent="0.2">
      <c r="I40" s="289"/>
    </row>
    <row r="41" spans="1:13" x14ac:dyDescent="0.2">
      <c r="I41" s="290"/>
    </row>
    <row r="44" spans="1:13" x14ac:dyDescent="0.2">
      <c r="E44" s="472"/>
    </row>
    <row r="45" spans="1:13" x14ac:dyDescent="0.2">
      <c r="E45" s="473" t="str">
        <f>Terrap.!B26</f>
        <v>Robson Darcio Sousa</v>
      </c>
    </row>
    <row r="46" spans="1:13" x14ac:dyDescent="0.2">
      <c r="E46" s="472" t="str">
        <f>Terrap.!B27</f>
        <v>ENGº CIVIL</v>
      </c>
    </row>
    <row r="47" spans="1:13" x14ac:dyDescent="0.2">
      <c r="E47" s="472" t="str">
        <f>Terrap.!B28</f>
        <v>Crea: 120.263.916-0</v>
      </c>
    </row>
  </sheetData>
  <mergeCells count="45">
    <mergeCell ref="A37:H37"/>
    <mergeCell ref="A38:H38"/>
    <mergeCell ref="A39:H39"/>
    <mergeCell ref="A36:H36"/>
    <mergeCell ref="A19:D19"/>
    <mergeCell ref="A20:D20"/>
    <mergeCell ref="A21:D21"/>
    <mergeCell ref="B25:C25"/>
    <mergeCell ref="A27:D27"/>
    <mergeCell ref="A10:I10"/>
    <mergeCell ref="F33:G33"/>
    <mergeCell ref="H24:H25"/>
    <mergeCell ref="I24:I25"/>
    <mergeCell ref="F34:G34"/>
    <mergeCell ref="A28:D28"/>
    <mergeCell ref="F32:G32"/>
    <mergeCell ref="F24:F25"/>
    <mergeCell ref="A26:D26"/>
    <mergeCell ref="A29:D29"/>
    <mergeCell ref="A24:A25"/>
    <mergeCell ref="B24:C24"/>
    <mergeCell ref="A11:D11"/>
    <mergeCell ref="E24:E25"/>
    <mergeCell ref="B6:E6"/>
    <mergeCell ref="B4:F4"/>
    <mergeCell ref="B5:D5"/>
    <mergeCell ref="B3:I3"/>
    <mergeCell ref="G5:I6"/>
    <mergeCell ref="G4:H4"/>
    <mergeCell ref="A1:I1"/>
    <mergeCell ref="A2:I2"/>
    <mergeCell ref="A23:D23"/>
    <mergeCell ref="A13:D13"/>
    <mergeCell ref="A14:D14"/>
    <mergeCell ref="A15:D15"/>
    <mergeCell ref="A16:D16"/>
    <mergeCell ref="A17:D17"/>
    <mergeCell ref="A22:D22"/>
    <mergeCell ref="A18:D18"/>
    <mergeCell ref="A12:D12"/>
    <mergeCell ref="A8:D8"/>
    <mergeCell ref="A7:I7"/>
    <mergeCell ref="E8:F8"/>
    <mergeCell ref="H8:I8"/>
    <mergeCell ref="A9:D9"/>
  </mergeCells>
  <pageMargins left="0.51181102362204722" right="0.31496062992125984" top="0.78740157480314965" bottom="0.39370078740157483" header="0.31496062992125984" footer="0.31496062992125984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M29"/>
  <sheetViews>
    <sheetView view="pageBreakPreview" zoomScaleSheetLayoutView="100" workbookViewId="0">
      <selection activeCell="A18" sqref="A18:A22"/>
    </sheetView>
  </sheetViews>
  <sheetFormatPr defaultColWidth="9.140625" defaultRowHeight="12.75" x14ac:dyDescent="0.2"/>
  <cols>
    <col min="1" max="1" width="12.42578125" style="268" customWidth="1"/>
    <col min="2" max="2" width="51.28515625" style="268" bestFit="1" customWidth="1"/>
    <col min="3" max="3" width="11.7109375" style="268" customWidth="1"/>
    <col min="4" max="4" width="10.7109375" style="268" customWidth="1"/>
    <col min="5" max="5" width="11.28515625" style="268" bestFit="1" customWidth="1"/>
    <col min="6" max="7" width="9.140625" style="268" customWidth="1"/>
    <col min="8" max="8" width="12.28515625" style="268" customWidth="1"/>
    <col min="9" max="9" width="14.28515625" style="268" customWidth="1"/>
    <col min="10" max="10" width="16.5703125" style="268" customWidth="1"/>
    <col min="11" max="12" width="9.140625" style="268"/>
    <col min="13" max="13" width="11.7109375" style="268" bestFit="1" customWidth="1"/>
    <col min="14" max="16384" width="9.140625" style="268"/>
  </cols>
  <sheetData>
    <row r="1" spans="1:13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3"/>
    </row>
    <row r="2" spans="1:13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6"/>
    </row>
    <row r="3" spans="1:13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053"/>
      <c r="I3" s="1134" t="str">
        <f>Terrap.!I3</f>
        <v>SINAPI - JULHO / 2020    DESONERADO                                                                                                                           SICRO 10/2019</v>
      </c>
      <c r="J3" s="1136"/>
    </row>
    <row r="4" spans="1:13" ht="15" customHeight="1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053"/>
      <c r="I4" s="1137"/>
      <c r="J4" s="1139"/>
    </row>
    <row r="5" spans="1:13" ht="16.5" customHeight="1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387" t="s">
        <v>362</v>
      </c>
      <c r="F5" s="1055" t="str">
        <f>Terrap.!F5</f>
        <v>AGOSTO 2020</v>
      </c>
      <c r="G5" s="1055"/>
      <c r="H5" s="1055"/>
      <c r="I5" s="1137"/>
      <c r="J5" s="1139"/>
    </row>
    <row r="6" spans="1:13" ht="15.75" thickBot="1" x14ac:dyDescent="0.25">
      <c r="A6" s="388" t="s">
        <v>59</v>
      </c>
      <c r="B6" s="1056">
        <f>C24</f>
        <v>31131.72</v>
      </c>
      <c r="C6" s="1056"/>
      <c r="D6" s="1056"/>
      <c r="E6" s="389" t="s">
        <v>60</v>
      </c>
      <c r="F6" s="1143">
        <f>Terrap.!F6</f>
        <v>0.25640000000000002</v>
      </c>
      <c r="G6" s="1143"/>
      <c r="H6" s="389" t="s">
        <v>61</v>
      </c>
      <c r="I6" s="1140"/>
      <c r="J6" s="1142"/>
    </row>
    <row r="7" spans="1:13" ht="21.75" customHeight="1" thickBot="1" x14ac:dyDescent="0.25">
      <c r="A7" s="1190" t="s">
        <v>226</v>
      </c>
      <c r="B7" s="1191"/>
      <c r="C7" s="1191"/>
      <c r="D7" s="1191"/>
      <c r="E7" s="1191"/>
      <c r="F7" s="1191"/>
      <c r="G7" s="1191"/>
      <c r="H7" s="1191"/>
      <c r="I7" s="1191"/>
      <c r="J7" s="1192"/>
    </row>
    <row r="8" spans="1:13" s="752" customFormat="1" ht="14.25" x14ac:dyDescent="0.2">
      <c r="A8" s="1193" t="s">
        <v>62</v>
      </c>
      <c r="B8" s="1195" t="s">
        <v>63</v>
      </c>
      <c r="C8" s="1195" t="s">
        <v>368</v>
      </c>
      <c r="D8" s="1195" t="s">
        <v>329</v>
      </c>
      <c r="E8" s="1195" t="s">
        <v>64</v>
      </c>
      <c r="F8" s="1195" t="s">
        <v>65</v>
      </c>
      <c r="G8" s="1195"/>
      <c r="H8" s="1195"/>
      <c r="I8" s="1195"/>
      <c r="J8" s="1201" t="s">
        <v>66</v>
      </c>
    </row>
    <row r="9" spans="1:13" s="752" customFormat="1" ht="28.5" x14ac:dyDescent="0.2">
      <c r="A9" s="1194"/>
      <c r="B9" s="1196"/>
      <c r="C9" s="1196"/>
      <c r="D9" s="1196"/>
      <c r="E9" s="1196"/>
      <c r="F9" s="676" t="s">
        <v>67</v>
      </c>
      <c r="G9" s="676" t="s">
        <v>68</v>
      </c>
      <c r="H9" s="676" t="s">
        <v>69</v>
      </c>
      <c r="I9" s="676" t="s">
        <v>66</v>
      </c>
      <c r="J9" s="1202"/>
    </row>
    <row r="10" spans="1:13" ht="18" customHeight="1" x14ac:dyDescent="0.2">
      <c r="A10" s="1205" t="str">
        <f>Terrap.!A10</f>
        <v>TRECHO 03</v>
      </c>
      <c r="B10" s="1206"/>
      <c r="C10" s="1206"/>
      <c r="D10" s="1206"/>
      <c r="E10" s="1206"/>
      <c r="F10" s="1206"/>
      <c r="G10" s="1206"/>
      <c r="H10" s="1206"/>
      <c r="I10" s="1206"/>
      <c r="J10" s="1207"/>
    </row>
    <row r="11" spans="1:13" ht="18.75" customHeight="1" x14ac:dyDescent="0.2">
      <c r="A11" s="557">
        <f>Terrap.!A11</f>
        <v>1</v>
      </c>
      <c r="B11" s="981" t="str">
        <f>Terrap.!B11</f>
        <v>RUAS DAS MARGARIDAS</v>
      </c>
      <c r="C11" s="558">
        <f>Terrap.!C11</f>
        <v>593</v>
      </c>
      <c r="D11" s="369">
        <f>Terrap.!D11-0.9</f>
        <v>6.4</v>
      </c>
      <c r="E11" s="559">
        <f t="shared" ref="E11:E12" si="0">(D11*C11)</f>
        <v>3795.2</v>
      </c>
      <c r="F11" s="560" t="str">
        <f>Terrap.!F11</f>
        <v>LR 01</v>
      </c>
      <c r="G11" s="370">
        <f>Terrap.!G11</f>
        <v>6</v>
      </c>
      <c r="H11" s="373">
        <v>30.63</v>
      </c>
      <c r="I11" s="558">
        <f>H11*G11</f>
        <v>183.78</v>
      </c>
      <c r="J11" s="561">
        <f>I11+E11</f>
        <v>3978.98</v>
      </c>
      <c r="K11" s="294"/>
      <c r="M11" s="294"/>
    </row>
    <row r="12" spans="1:13" ht="18.75" customHeight="1" x14ac:dyDescent="0.2">
      <c r="A12" s="928">
        <f>Terrap.!A12</f>
        <v>2</v>
      </c>
      <c r="B12" s="982" t="str">
        <f>Terrap.!B12</f>
        <v>RUA DOS GIRASSÓIS</v>
      </c>
      <c r="C12" s="665">
        <f>Terrap.!C12</f>
        <v>593</v>
      </c>
      <c r="D12" s="666">
        <f>Terrap.!D12-0.9</f>
        <v>6.4</v>
      </c>
      <c r="E12" s="929">
        <f t="shared" si="0"/>
        <v>3795.2</v>
      </c>
      <c r="F12" s="911" t="str">
        <f>Terrap.!F12</f>
        <v>LR 01</v>
      </c>
      <c r="G12" s="370">
        <f>Terrap.!G12</f>
        <v>6</v>
      </c>
      <c r="H12" s="373">
        <v>30.63</v>
      </c>
      <c r="I12" s="665">
        <f t="shared" ref="I12:I13" si="1">H12*G12</f>
        <v>183.78</v>
      </c>
      <c r="J12" s="662">
        <f>I12+E12</f>
        <v>3978.98</v>
      </c>
      <c r="K12" s="294"/>
      <c r="M12" s="294"/>
    </row>
    <row r="13" spans="1:13" ht="18.75" customHeight="1" x14ac:dyDescent="0.2">
      <c r="A13" s="928">
        <f>Terrap.!A13</f>
        <v>3</v>
      </c>
      <c r="B13" s="659" t="str">
        <f>Terrap.!B13</f>
        <v>RUAS DAS CEREJEIRAS</v>
      </c>
      <c r="C13" s="558">
        <f>Terrap.!C13</f>
        <v>593</v>
      </c>
      <c r="D13" s="666">
        <f>Terrap.!D13-0.9</f>
        <v>6.4</v>
      </c>
      <c r="E13" s="559">
        <f t="shared" ref="E13" si="2">(D13*C13)</f>
        <v>3795.2</v>
      </c>
      <c r="F13" s="911" t="str">
        <f>Terrap.!F13</f>
        <v>LR 01</v>
      </c>
      <c r="G13" s="370">
        <f>Terrap.!G13</f>
        <v>4</v>
      </c>
      <c r="H13" s="373">
        <v>30.63</v>
      </c>
      <c r="I13" s="665">
        <f t="shared" si="1"/>
        <v>122.52</v>
      </c>
      <c r="J13" s="561">
        <f t="shared" ref="J13" si="3">I13+E13</f>
        <v>3917.72</v>
      </c>
      <c r="K13" s="294"/>
      <c r="M13" s="294"/>
    </row>
    <row r="14" spans="1:13" ht="18.75" customHeight="1" x14ac:dyDescent="0.2">
      <c r="A14" s="928">
        <f>Terrap.!A14</f>
        <v>4</v>
      </c>
      <c r="B14" s="659" t="str">
        <f>Terrap.!B14</f>
        <v>RUA DAS JARACATIÁS</v>
      </c>
      <c r="C14" s="665">
        <f>Terrap.!C14</f>
        <v>734.1</v>
      </c>
      <c r="D14" s="666">
        <f>Terrap.!D14-0.9</f>
        <v>6.4</v>
      </c>
      <c r="E14" s="559">
        <f t="shared" ref="E14:E22" si="4">(D14*C14)</f>
        <v>4698.24</v>
      </c>
      <c r="F14" s="922" t="str">
        <f>Terrap.!F14</f>
        <v>LR 01</v>
      </c>
      <c r="G14" s="370">
        <f>Terrap.!G14</f>
        <v>4</v>
      </c>
      <c r="H14" s="373">
        <v>30.63</v>
      </c>
      <c r="I14" s="665">
        <f t="shared" ref="I14:I22" si="5">H14*G14</f>
        <v>122.52</v>
      </c>
      <c r="J14" s="662">
        <f t="shared" ref="J14:J22" si="6">I14+E14</f>
        <v>4820.76</v>
      </c>
      <c r="K14" s="294"/>
      <c r="M14" s="294"/>
    </row>
    <row r="15" spans="1:13" ht="18.75" customHeight="1" x14ac:dyDescent="0.2">
      <c r="A15" s="928">
        <f>Terrap.!A15</f>
        <v>5</v>
      </c>
      <c r="B15" s="659" t="str">
        <f>Terrap.!B15</f>
        <v>AV CONSTITUINTE</v>
      </c>
      <c r="C15" s="665">
        <f>Terrap.!C15</f>
        <v>267.63</v>
      </c>
      <c r="D15" s="666">
        <f>Terrap.!D15-0.9</f>
        <v>6.4</v>
      </c>
      <c r="E15" s="559">
        <f t="shared" si="4"/>
        <v>1712.83</v>
      </c>
      <c r="F15" s="922" t="str">
        <f>Terrap.!F15</f>
        <v>LR 01</v>
      </c>
      <c r="G15" s="370">
        <f>Terrap.!G15</f>
        <v>1</v>
      </c>
      <c r="H15" s="373"/>
      <c r="I15" s="665">
        <f t="shared" si="5"/>
        <v>0</v>
      </c>
      <c r="J15" s="662">
        <f t="shared" si="6"/>
        <v>1712.83</v>
      </c>
      <c r="K15" s="294"/>
      <c r="M15" s="294"/>
    </row>
    <row r="16" spans="1:13" ht="18.75" customHeight="1" x14ac:dyDescent="0.2">
      <c r="A16" s="928">
        <f>Terrap.!A16</f>
        <v>6</v>
      </c>
      <c r="B16" s="659" t="str">
        <f>Terrap.!B16</f>
        <v>RUA FLAMBOYANT</v>
      </c>
      <c r="C16" s="665">
        <f>Terrap.!C16</f>
        <v>215.41</v>
      </c>
      <c r="D16" s="666">
        <f>Terrap.!D16-0.9</f>
        <v>6.4</v>
      </c>
      <c r="E16" s="559">
        <f t="shared" si="4"/>
        <v>1378.62</v>
      </c>
      <c r="F16" s="922" t="str">
        <f>Terrap.!F16</f>
        <v>LR05</v>
      </c>
      <c r="G16" s="370">
        <f>Terrap.!G16</f>
        <v>1</v>
      </c>
      <c r="H16" s="373">
        <v>41.66</v>
      </c>
      <c r="I16" s="665">
        <f t="shared" si="5"/>
        <v>41.66</v>
      </c>
      <c r="J16" s="662">
        <f t="shared" si="6"/>
        <v>1420.28</v>
      </c>
      <c r="K16" s="294"/>
      <c r="M16" s="294"/>
    </row>
    <row r="17" spans="1:13" ht="18.75" customHeight="1" x14ac:dyDescent="0.2">
      <c r="A17" s="928">
        <f>Terrap.!A17</f>
        <v>7</v>
      </c>
      <c r="B17" s="659" t="str">
        <f>Terrap.!B17</f>
        <v>RUA CAMPOS ELISIOS</v>
      </c>
      <c r="C17" s="665">
        <f>Terrap.!C17</f>
        <v>215.6</v>
      </c>
      <c r="D17" s="666">
        <f>Terrap.!D17-0.9</f>
        <v>6.4</v>
      </c>
      <c r="E17" s="559">
        <f t="shared" si="4"/>
        <v>1379.84</v>
      </c>
      <c r="F17" s="922">
        <f>Terrap.!F17</f>
        <v>0</v>
      </c>
      <c r="G17" s="370">
        <f>Terrap.!G17</f>
        <v>0</v>
      </c>
      <c r="H17" s="373">
        <v>41.66</v>
      </c>
      <c r="I17" s="665">
        <f t="shared" si="5"/>
        <v>0</v>
      </c>
      <c r="J17" s="662">
        <f t="shared" si="6"/>
        <v>1379.84</v>
      </c>
      <c r="K17" s="294"/>
      <c r="M17" s="294"/>
    </row>
    <row r="18" spans="1:13" ht="18.75" customHeight="1" x14ac:dyDescent="0.2">
      <c r="A18" s="928">
        <f>Terrap.!A18</f>
        <v>8</v>
      </c>
      <c r="B18" s="659" t="str">
        <f>Terrap.!B18</f>
        <v>RUA SAMAMBAIAS</v>
      </c>
      <c r="C18" s="665">
        <f>Terrap.!C18</f>
        <v>219.5</v>
      </c>
      <c r="D18" s="666">
        <f>Terrap.!D18-0.9</f>
        <v>6.4</v>
      </c>
      <c r="E18" s="559">
        <f t="shared" si="4"/>
        <v>1404.8</v>
      </c>
      <c r="F18" s="922">
        <f>Terrap.!F18</f>
        <v>0</v>
      </c>
      <c r="G18" s="370">
        <f>Terrap.!G18</f>
        <v>0</v>
      </c>
      <c r="H18" s="373"/>
      <c r="I18" s="665">
        <f t="shared" si="5"/>
        <v>0</v>
      </c>
      <c r="J18" s="662">
        <f t="shared" si="6"/>
        <v>1404.8</v>
      </c>
      <c r="K18" s="294"/>
      <c r="M18" s="294"/>
    </row>
    <row r="19" spans="1:13" ht="18.75" customHeight="1" x14ac:dyDescent="0.2">
      <c r="A19" s="995">
        <f>Terrap.!A19</f>
        <v>9</v>
      </c>
      <c r="B19" s="659" t="str">
        <f>Terrap.!B19</f>
        <v>RUA PARAÍSO</v>
      </c>
      <c r="C19" s="665">
        <f>Terrap.!C19</f>
        <v>421.28</v>
      </c>
      <c r="D19" s="666">
        <f>Terrap.!D19-0.9</f>
        <v>6.4</v>
      </c>
      <c r="E19" s="559">
        <f t="shared" si="4"/>
        <v>2696.19</v>
      </c>
      <c r="F19" s="996" t="str">
        <f>Terrap.!F19</f>
        <v>LR 01</v>
      </c>
      <c r="G19" s="370">
        <f>Terrap.!G19</f>
        <v>2</v>
      </c>
      <c r="H19" s="373">
        <v>30.63</v>
      </c>
      <c r="I19" s="665">
        <f t="shared" si="5"/>
        <v>61.26</v>
      </c>
      <c r="J19" s="662">
        <f t="shared" si="6"/>
        <v>2757.45</v>
      </c>
      <c r="K19" s="294"/>
      <c r="M19" s="294"/>
    </row>
    <row r="20" spans="1:13" ht="18.75" customHeight="1" x14ac:dyDescent="0.2">
      <c r="A20" s="995">
        <f>Terrap.!A20</f>
        <v>10</v>
      </c>
      <c r="B20" s="659" t="str">
        <f>Terrap.!B20</f>
        <v>RUA IMPERIAL</v>
      </c>
      <c r="C20" s="665">
        <f>Terrap.!C20</f>
        <v>497.28</v>
      </c>
      <c r="D20" s="666">
        <f>Terrap.!D20-0.9</f>
        <v>6.4</v>
      </c>
      <c r="E20" s="559">
        <f t="shared" si="4"/>
        <v>3182.59</v>
      </c>
      <c r="F20" s="996" t="str">
        <f>Terrap.!F20</f>
        <v>LR 01</v>
      </c>
      <c r="G20" s="370">
        <f>Terrap.!G20</f>
        <v>2</v>
      </c>
      <c r="H20" s="373">
        <v>30.63</v>
      </c>
      <c r="I20" s="665">
        <f t="shared" si="5"/>
        <v>61.26</v>
      </c>
      <c r="J20" s="662">
        <f t="shared" si="6"/>
        <v>3243.85</v>
      </c>
      <c r="K20" s="294"/>
      <c r="M20" s="294"/>
    </row>
    <row r="21" spans="1:13" ht="18.75" customHeight="1" x14ac:dyDescent="0.2">
      <c r="A21" s="995">
        <f>Terrap.!A21</f>
        <v>11</v>
      </c>
      <c r="B21" s="659" t="str">
        <f>Terrap.!B21</f>
        <v>RUA VIRTUDE</v>
      </c>
      <c r="C21" s="665">
        <f>Terrap.!C21</f>
        <v>315.99</v>
      </c>
      <c r="D21" s="666">
        <f>Terrap.!D21-0.9</f>
        <v>5.9</v>
      </c>
      <c r="E21" s="559">
        <f t="shared" si="4"/>
        <v>1864.34</v>
      </c>
      <c r="F21" s="996" t="str">
        <f>Terrap.!F21</f>
        <v>LR 01</v>
      </c>
      <c r="G21" s="370">
        <f>Terrap.!G21</f>
        <v>1</v>
      </c>
      <c r="H21" s="373">
        <v>30.63</v>
      </c>
      <c r="I21" s="665">
        <f t="shared" si="5"/>
        <v>30.63</v>
      </c>
      <c r="J21" s="662">
        <f t="shared" si="6"/>
        <v>1894.97</v>
      </c>
      <c r="K21" s="294"/>
      <c r="M21" s="294"/>
    </row>
    <row r="22" spans="1:13" ht="18.75" customHeight="1" x14ac:dyDescent="0.2">
      <c r="A22" s="995">
        <f>Terrap.!A22</f>
        <v>12</v>
      </c>
      <c r="B22" s="659" t="str">
        <f>Terrap.!B22</f>
        <v>AV. PRESIDENTE TANCREDO NEVES</v>
      </c>
      <c r="C22" s="665">
        <f>Terrap.!C22</f>
        <v>87.5</v>
      </c>
      <c r="D22" s="666">
        <f>Terrap.!D22-0.9</f>
        <v>6.4</v>
      </c>
      <c r="E22" s="559">
        <f t="shared" si="4"/>
        <v>560</v>
      </c>
      <c r="F22" s="922" t="str">
        <f>Terrap.!F22</f>
        <v>LR 01</v>
      </c>
      <c r="G22" s="370">
        <f>Terrap.!G22</f>
        <v>2</v>
      </c>
      <c r="H22" s="373">
        <v>30.63</v>
      </c>
      <c r="I22" s="665">
        <f t="shared" si="5"/>
        <v>61.26</v>
      </c>
      <c r="J22" s="662">
        <f t="shared" si="6"/>
        <v>621.26</v>
      </c>
      <c r="K22" s="294"/>
      <c r="M22" s="294"/>
    </row>
    <row r="23" spans="1:13" ht="18.75" customHeight="1" x14ac:dyDescent="0.2">
      <c r="A23" s="1203" t="s">
        <v>70</v>
      </c>
      <c r="B23" s="1204"/>
      <c r="C23" s="372">
        <f>SUM(C11:C22)</f>
        <v>4753.29</v>
      </c>
      <c r="D23" s="370"/>
      <c r="E23" s="372">
        <f>SUM(E11:E22)</f>
        <v>30263.05</v>
      </c>
      <c r="F23" s="458"/>
      <c r="G23" s="370"/>
      <c r="H23" s="458"/>
      <c r="I23" s="372">
        <f>SUM(I11:I22)</f>
        <v>868.67</v>
      </c>
      <c r="J23" s="377">
        <f>SUM(J11:J22)</f>
        <v>31131.72</v>
      </c>
      <c r="K23" s="294"/>
      <c r="M23" s="294"/>
    </row>
    <row r="24" spans="1:13" ht="18.75" customHeight="1" thickBot="1" x14ac:dyDescent="0.25">
      <c r="A24" s="1197" t="s">
        <v>71</v>
      </c>
      <c r="B24" s="1198"/>
      <c r="C24" s="1199">
        <f>I23+E23</f>
        <v>31131.72</v>
      </c>
      <c r="D24" s="1199"/>
      <c r="E24" s="1199"/>
      <c r="F24" s="1199"/>
      <c r="G24" s="1199"/>
      <c r="H24" s="1199"/>
      <c r="I24" s="1199"/>
      <c r="J24" s="1200"/>
      <c r="K24" s="294"/>
      <c r="M24" s="294"/>
    </row>
    <row r="25" spans="1:13" x14ac:dyDescent="0.2">
      <c r="A25" s="399"/>
      <c r="B25" s="399"/>
      <c r="C25" s="399"/>
      <c r="D25" s="399"/>
      <c r="E25" s="399"/>
      <c r="F25" s="399"/>
      <c r="G25" s="399"/>
      <c r="H25" s="399"/>
      <c r="I25" s="399"/>
      <c r="J25" s="399"/>
      <c r="M25" s="294"/>
    </row>
    <row r="26" spans="1:13" x14ac:dyDescent="0.2">
      <c r="A26" s="399"/>
      <c r="B26" s="400"/>
      <c r="C26" s="399"/>
      <c r="D26" s="399"/>
      <c r="E26" s="399"/>
      <c r="F26" s="399"/>
      <c r="G26" s="399"/>
      <c r="H26" s="401"/>
      <c r="I26" s="399"/>
      <c r="J26" s="399"/>
      <c r="M26" s="294"/>
    </row>
    <row r="27" spans="1:13" ht="15.75" x14ac:dyDescent="0.2">
      <c r="A27" s="399"/>
      <c r="B27" s="900" t="str">
        <f>Terrap.!B26</f>
        <v>Robson Darcio Sousa</v>
      </c>
      <c r="C27" s="399"/>
      <c r="D27" s="399"/>
      <c r="E27" s="402"/>
      <c r="F27" s="399"/>
      <c r="G27" s="402"/>
      <c r="H27" s="399"/>
      <c r="I27" s="399"/>
      <c r="J27" s="399"/>
    </row>
    <row r="28" spans="1:13" x14ac:dyDescent="0.2">
      <c r="A28" s="399"/>
      <c r="B28" s="901" t="str">
        <f>Terrap.!B27</f>
        <v>ENGº CIVIL</v>
      </c>
      <c r="C28" s="399"/>
      <c r="D28" s="399"/>
      <c r="E28" s="399"/>
      <c r="F28" s="399"/>
      <c r="G28" s="399"/>
      <c r="H28" s="399"/>
      <c r="I28" s="399"/>
      <c r="J28" s="399"/>
    </row>
    <row r="29" spans="1:13" x14ac:dyDescent="0.2">
      <c r="A29" s="399"/>
      <c r="B29" s="901" t="str">
        <f>Terrap.!B28</f>
        <v>Crea: 120.263.916-0</v>
      </c>
      <c r="C29" s="399"/>
      <c r="D29" s="399"/>
      <c r="E29" s="399"/>
      <c r="F29" s="399"/>
      <c r="G29" s="399"/>
      <c r="H29" s="399"/>
      <c r="I29" s="399"/>
      <c r="J29" s="399"/>
    </row>
  </sheetData>
  <mergeCells count="21">
    <mergeCell ref="A24:B24"/>
    <mergeCell ref="C24:J24"/>
    <mergeCell ref="F8:I8"/>
    <mergeCell ref="J8:J9"/>
    <mergeCell ref="A23:B23"/>
    <mergeCell ref="A10:J10"/>
    <mergeCell ref="A1:J1"/>
    <mergeCell ref="A2:J2"/>
    <mergeCell ref="A7:J7"/>
    <mergeCell ref="A8:A9"/>
    <mergeCell ref="B8:B9"/>
    <mergeCell ref="C8:C9"/>
    <mergeCell ref="D8:D9"/>
    <mergeCell ref="E8:E9"/>
    <mergeCell ref="B6:D6"/>
    <mergeCell ref="F6:G6"/>
    <mergeCell ref="F5:H5"/>
    <mergeCell ref="B5:D5"/>
    <mergeCell ref="I3:J6"/>
    <mergeCell ref="B4:H4"/>
    <mergeCell ref="B3:H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K52"/>
  <sheetViews>
    <sheetView view="pageBreakPreview" zoomScaleSheetLayoutView="100" workbookViewId="0">
      <selection activeCell="D45" sqref="D45"/>
    </sheetView>
  </sheetViews>
  <sheetFormatPr defaultColWidth="9.140625" defaultRowHeight="12.75" x14ac:dyDescent="0.2"/>
  <cols>
    <col min="1" max="1" width="12.42578125" style="268" customWidth="1"/>
    <col min="2" max="2" width="53.5703125" style="268" customWidth="1"/>
    <col min="3" max="6" width="15" style="268" customWidth="1"/>
    <col min="7" max="7" width="25.140625" style="268" customWidth="1"/>
    <col min="8" max="8" width="26.5703125" style="268" customWidth="1"/>
    <col min="9" max="10" width="9.140625" style="268"/>
    <col min="11" max="11" width="11.7109375" style="268" bestFit="1" customWidth="1"/>
    <col min="12" max="16384" width="9.140625" style="268"/>
  </cols>
  <sheetData>
    <row r="1" spans="1:11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3"/>
    </row>
    <row r="2" spans="1:11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6"/>
    </row>
    <row r="3" spans="1:11" ht="15" x14ac:dyDescent="0.2">
      <c r="A3" s="385" t="s">
        <v>56</v>
      </c>
      <c r="B3" s="1053" t="str">
        <f>Terrap.!B3</f>
        <v xml:space="preserve">PAVIMENTAÇÃO ASFALTICA E DRENAGEM DE AGUAS PLUVIAIS </v>
      </c>
      <c r="C3" s="1053"/>
      <c r="D3" s="1053"/>
      <c r="E3" s="1053"/>
      <c r="F3" s="1053"/>
      <c r="G3" s="1053"/>
      <c r="H3" s="1214" t="str">
        <f>Terrap.!I3</f>
        <v>SINAPI - JULHO / 2020    DESONERADO                                                                                                                           SICRO 10/2019</v>
      </c>
    </row>
    <row r="4" spans="1:11" ht="15" x14ac:dyDescent="0.2">
      <c r="A4" s="385" t="s">
        <v>57</v>
      </c>
      <c r="B4" s="1053" t="str">
        <f>Terrap.!B4</f>
        <v>DIVERSAS RUAS - PERIMETRO URBANO</v>
      </c>
      <c r="C4" s="1053"/>
      <c r="D4" s="1053"/>
      <c r="E4" s="1053"/>
      <c r="F4" s="1053"/>
      <c r="G4" s="1053"/>
      <c r="H4" s="1215"/>
    </row>
    <row r="5" spans="1:11" ht="15" x14ac:dyDescent="0.2">
      <c r="A5" s="385" t="s">
        <v>58</v>
      </c>
      <c r="B5" s="1053" t="str">
        <f>Terrap.!B5</f>
        <v xml:space="preserve">PREFEITURA MUNICIPAL DE BARRA DO BUGRES </v>
      </c>
      <c r="C5" s="1053"/>
      <c r="D5" s="1053"/>
      <c r="E5" s="387" t="s">
        <v>362</v>
      </c>
      <c r="F5" s="1055" t="str">
        <f>Terrap.!F5</f>
        <v>AGOSTO 2020</v>
      </c>
      <c r="G5" s="1055"/>
      <c r="H5" s="1215"/>
    </row>
    <row r="6" spans="1:11" ht="15.75" thickBot="1" x14ac:dyDescent="0.25">
      <c r="A6" s="388" t="s">
        <v>59</v>
      </c>
      <c r="B6" s="1056">
        <f>Pavim.!C24</f>
        <v>31131.72</v>
      </c>
      <c r="C6" s="1056"/>
      <c r="D6" s="1056"/>
      <c r="E6" s="389" t="s">
        <v>60</v>
      </c>
      <c r="F6" s="769">
        <f>Terrap.!F6</f>
        <v>0.25640000000000002</v>
      </c>
      <c r="G6" s="389" t="s">
        <v>61</v>
      </c>
      <c r="H6" s="1216"/>
    </row>
    <row r="7" spans="1:11" ht="16.5" thickBot="1" x14ac:dyDescent="0.25">
      <c r="A7" s="1208" t="s">
        <v>497</v>
      </c>
      <c r="B7" s="1209"/>
      <c r="C7" s="1209"/>
      <c r="D7" s="1209"/>
      <c r="E7" s="1209"/>
      <c r="F7" s="1209"/>
      <c r="G7" s="1209"/>
      <c r="H7" s="1210"/>
    </row>
    <row r="8" spans="1:11" s="752" customFormat="1" ht="14.25" x14ac:dyDescent="0.2">
      <c r="A8" s="1193" t="s">
        <v>62</v>
      </c>
      <c r="B8" s="1195" t="s">
        <v>63</v>
      </c>
      <c r="C8" s="1211" t="s">
        <v>490</v>
      </c>
      <c r="D8" s="1212"/>
      <c r="E8" s="1211" t="s">
        <v>493</v>
      </c>
      <c r="F8" s="1212"/>
      <c r="G8" s="1211" t="s">
        <v>494</v>
      </c>
      <c r="H8" s="1213"/>
    </row>
    <row r="9" spans="1:11" s="752" customFormat="1" ht="14.25" x14ac:dyDescent="0.2">
      <c r="A9" s="1194"/>
      <c r="B9" s="1196"/>
      <c r="C9" s="831" t="s">
        <v>491</v>
      </c>
      <c r="D9" s="831" t="s">
        <v>492</v>
      </c>
      <c r="E9" s="831" t="s">
        <v>491</v>
      </c>
      <c r="F9" s="831" t="s">
        <v>492</v>
      </c>
      <c r="G9" s="831" t="s">
        <v>495</v>
      </c>
      <c r="H9" s="832" t="s">
        <v>496</v>
      </c>
    </row>
    <row r="10" spans="1:11" ht="14.25" x14ac:dyDescent="0.2">
      <c r="A10" s="1205" t="str">
        <f>Terrap.!A10</f>
        <v>TRECHO 03</v>
      </c>
      <c r="B10" s="1206"/>
      <c r="C10" s="1206"/>
      <c r="D10" s="1206"/>
      <c r="E10" s="1206"/>
      <c r="F10" s="1206"/>
      <c r="G10" s="1206"/>
      <c r="H10" s="1207"/>
    </row>
    <row r="11" spans="1:11" ht="15" x14ac:dyDescent="0.2">
      <c r="A11" s="664">
        <f>Terrap.!A11</f>
        <v>1</v>
      </c>
      <c r="B11" s="830" t="str">
        <f>Terrap.!B11</f>
        <v>RUAS DAS MARGARIDAS</v>
      </c>
      <c r="C11" s="667"/>
      <c r="D11" s="892"/>
      <c r="E11" s="667"/>
      <c r="F11" s="892"/>
      <c r="G11" s="771"/>
      <c r="H11" s="772"/>
      <c r="I11" s="294"/>
      <c r="K11" s="294"/>
    </row>
    <row r="12" spans="1:11" ht="15" x14ac:dyDescent="0.2">
      <c r="A12" s="664">
        <f>Terrap.!A12</f>
        <v>2</v>
      </c>
      <c r="B12" s="830" t="str">
        <f>Terrap.!B12</f>
        <v>RUA DOS GIRASSÓIS</v>
      </c>
      <c r="C12" s="666"/>
      <c r="D12" s="666"/>
      <c r="E12" s="667"/>
      <c r="F12" s="892"/>
      <c r="G12" s="771"/>
      <c r="H12" s="772"/>
      <c r="I12" s="294"/>
      <c r="K12" s="294"/>
    </row>
    <row r="13" spans="1:11" ht="15" x14ac:dyDescent="0.2">
      <c r="A13" s="664">
        <f>Terrap.!A13</f>
        <v>3</v>
      </c>
      <c r="B13" s="659" t="str">
        <f>Terrap.!B13</f>
        <v>RUAS DAS CEREJEIRAS</v>
      </c>
      <c r="C13" s="666"/>
      <c r="D13" s="666"/>
      <c r="E13" s="667"/>
      <c r="F13" s="892"/>
      <c r="G13" s="771"/>
      <c r="H13" s="772"/>
      <c r="I13" s="294"/>
      <c r="K13" s="294"/>
    </row>
    <row r="14" spans="1:11" ht="15" x14ac:dyDescent="0.2">
      <c r="A14" s="664">
        <f>Terrap.!A14</f>
        <v>4</v>
      </c>
      <c r="B14" s="659" t="str">
        <f>Terrap.!B14</f>
        <v>RUA DAS JARACATIÁS</v>
      </c>
      <c r="C14" s="666"/>
      <c r="D14" s="666"/>
      <c r="E14" s="667"/>
      <c r="F14" s="917"/>
      <c r="G14" s="771"/>
      <c r="H14" s="772"/>
      <c r="I14" s="294"/>
      <c r="K14" s="294"/>
    </row>
    <row r="15" spans="1:11" ht="15" x14ac:dyDescent="0.2">
      <c r="A15" s="664">
        <f>Terrap.!A15</f>
        <v>5</v>
      </c>
      <c r="B15" s="659" t="str">
        <f>Terrap.!B15</f>
        <v>AV CONSTITUINTE</v>
      </c>
      <c r="C15" s="666"/>
      <c r="D15" s="666"/>
      <c r="E15" s="667"/>
      <c r="F15" s="917"/>
      <c r="G15" s="771"/>
      <c r="H15" s="772"/>
      <c r="I15" s="294"/>
      <c r="K15" s="294"/>
    </row>
    <row r="16" spans="1:11" ht="15" x14ac:dyDescent="0.2">
      <c r="A16" s="664">
        <f>Terrap.!A16</f>
        <v>6</v>
      </c>
      <c r="B16" s="659" t="str">
        <f>Terrap.!B16</f>
        <v>RUA FLAMBOYANT</v>
      </c>
      <c r="C16" s="666"/>
      <c r="D16" s="666"/>
      <c r="E16" s="667"/>
      <c r="F16" s="917"/>
      <c r="G16" s="771"/>
      <c r="H16" s="772"/>
      <c r="I16" s="294"/>
      <c r="K16" s="294"/>
    </row>
    <row r="17" spans="1:11" ht="15" x14ac:dyDescent="0.2">
      <c r="A17" s="664">
        <f>Terrap.!A17</f>
        <v>7</v>
      </c>
      <c r="B17" s="659" t="str">
        <f>Terrap.!B17</f>
        <v>RUA CAMPOS ELISIOS</v>
      </c>
      <c r="C17" s="666"/>
      <c r="D17" s="666"/>
      <c r="E17" s="667"/>
      <c r="F17" s="917"/>
      <c r="G17" s="771"/>
      <c r="H17" s="772"/>
      <c r="I17" s="294"/>
      <c r="K17" s="294"/>
    </row>
    <row r="18" spans="1:11" ht="15" x14ac:dyDescent="0.2">
      <c r="A18" s="664">
        <f>Terrap.!A18</f>
        <v>8</v>
      </c>
      <c r="B18" s="659" t="str">
        <f>Terrap.!B18</f>
        <v>RUA SAMAMBAIAS</v>
      </c>
      <c r="C18" s="666"/>
      <c r="D18" s="666"/>
      <c r="E18" s="667"/>
      <c r="F18" s="917"/>
      <c r="G18" s="771"/>
      <c r="H18" s="772"/>
      <c r="I18" s="294"/>
      <c r="K18" s="294"/>
    </row>
    <row r="19" spans="1:11" ht="15" x14ac:dyDescent="0.2">
      <c r="A19" s="664" t="e">
        <f>Terrap.!#REF!</f>
        <v>#REF!</v>
      </c>
      <c r="B19" s="659" t="e">
        <f>Terrap.!#REF!</f>
        <v>#REF!</v>
      </c>
      <c r="C19" s="666"/>
      <c r="D19" s="666"/>
      <c r="E19" s="667"/>
      <c r="F19" s="917"/>
      <c r="G19" s="771"/>
      <c r="H19" s="772"/>
      <c r="I19" s="294"/>
      <c r="K19" s="294"/>
    </row>
    <row r="20" spans="1:11" ht="15" x14ac:dyDescent="0.2">
      <c r="A20" s="664" t="e">
        <f>Terrap.!#REF!</f>
        <v>#REF!</v>
      </c>
      <c r="B20" s="659" t="e">
        <f>Terrap.!#REF!</f>
        <v>#REF!</v>
      </c>
      <c r="C20" s="666"/>
      <c r="D20" s="666"/>
      <c r="E20" s="667"/>
      <c r="F20" s="917"/>
      <c r="G20" s="771"/>
      <c r="H20" s="772"/>
      <c r="I20" s="294"/>
      <c r="K20" s="294"/>
    </row>
    <row r="21" spans="1:11" ht="15" x14ac:dyDescent="0.2">
      <c r="A21" s="664" t="e">
        <f>Terrap.!#REF!</f>
        <v>#REF!</v>
      </c>
      <c r="B21" s="659" t="e">
        <f>Terrap.!#REF!</f>
        <v>#REF!</v>
      </c>
      <c r="C21" s="666"/>
      <c r="D21" s="666"/>
      <c r="E21" s="667"/>
      <c r="F21" s="917"/>
      <c r="G21" s="771"/>
      <c r="H21" s="772"/>
      <c r="I21" s="294"/>
      <c r="K21" s="294"/>
    </row>
    <row r="22" spans="1:11" ht="15" x14ac:dyDescent="0.2">
      <c r="A22" s="664" t="e">
        <f>Terrap.!#REF!</f>
        <v>#REF!</v>
      </c>
      <c r="B22" s="659" t="e">
        <f>Terrap.!#REF!</f>
        <v>#REF!</v>
      </c>
      <c r="C22" s="666"/>
      <c r="D22" s="666"/>
      <c r="E22" s="667"/>
      <c r="F22" s="917"/>
      <c r="G22" s="771"/>
      <c r="H22" s="772"/>
      <c r="I22" s="294"/>
      <c r="K22" s="294"/>
    </row>
    <row r="23" spans="1:11" ht="15" x14ac:dyDescent="0.2">
      <c r="A23" s="664" t="e">
        <f>Terrap.!#REF!</f>
        <v>#REF!</v>
      </c>
      <c r="B23" s="659" t="e">
        <f>Terrap.!#REF!</f>
        <v>#REF!</v>
      </c>
      <c r="C23" s="666"/>
      <c r="D23" s="666"/>
      <c r="E23" s="667"/>
      <c r="F23" s="917"/>
      <c r="G23" s="771"/>
      <c r="H23" s="772"/>
      <c r="I23" s="294"/>
      <c r="K23" s="294"/>
    </row>
    <row r="24" spans="1:11" ht="15" x14ac:dyDescent="0.2">
      <c r="A24" s="664" t="e">
        <f>Terrap.!#REF!</f>
        <v>#REF!</v>
      </c>
      <c r="B24" s="659" t="e">
        <f>Terrap.!#REF!</f>
        <v>#REF!</v>
      </c>
      <c r="C24" s="666"/>
      <c r="D24" s="666"/>
      <c r="E24" s="667"/>
      <c r="F24" s="917"/>
      <c r="G24" s="771"/>
      <c r="H24" s="772"/>
      <c r="I24" s="294"/>
      <c r="K24" s="294"/>
    </row>
    <row r="25" spans="1:11" ht="15" x14ac:dyDescent="0.2">
      <c r="A25" s="664" t="e">
        <f>Terrap.!#REF!</f>
        <v>#REF!</v>
      </c>
      <c r="B25" s="659" t="e">
        <f>Terrap.!#REF!</f>
        <v>#REF!</v>
      </c>
      <c r="C25" s="666"/>
      <c r="D25" s="666"/>
      <c r="E25" s="667"/>
      <c r="F25" s="917"/>
      <c r="G25" s="771"/>
      <c r="H25" s="772"/>
      <c r="I25" s="294"/>
      <c r="K25" s="294"/>
    </row>
    <row r="26" spans="1:11" ht="15" x14ac:dyDescent="0.2">
      <c r="A26" s="664">
        <f>Terrap.!A22</f>
        <v>12</v>
      </c>
      <c r="B26" s="659" t="str">
        <f>Terrap.!B22</f>
        <v>AV. PRESIDENTE TANCREDO NEVES</v>
      </c>
      <c r="C26" s="666"/>
      <c r="D26" s="666"/>
      <c r="E26" s="667"/>
      <c r="F26" s="917"/>
      <c r="G26" s="771"/>
      <c r="H26" s="772"/>
      <c r="I26" s="294"/>
      <c r="K26" s="294"/>
    </row>
    <row r="27" spans="1:11" ht="15" x14ac:dyDescent="0.2">
      <c r="A27" s="664" t="e">
        <f>Terrap.!#REF!</f>
        <v>#REF!</v>
      </c>
      <c r="B27" s="659" t="e">
        <f>Terrap.!#REF!</f>
        <v>#REF!</v>
      </c>
      <c r="C27" s="666"/>
      <c r="D27" s="666"/>
      <c r="E27" s="667"/>
      <c r="F27" s="917"/>
      <c r="G27" s="771"/>
      <c r="H27" s="772"/>
      <c r="I27" s="294"/>
      <c r="K27" s="294"/>
    </row>
    <row r="28" spans="1:11" ht="15" x14ac:dyDescent="0.2">
      <c r="A28" s="664" t="e">
        <f>Terrap.!#REF!</f>
        <v>#REF!</v>
      </c>
      <c r="B28" s="659" t="e">
        <f>Terrap.!#REF!</f>
        <v>#REF!</v>
      </c>
      <c r="C28" s="666"/>
      <c r="D28" s="666"/>
      <c r="E28" s="667"/>
      <c r="F28" s="917"/>
      <c r="G28" s="771"/>
      <c r="H28" s="772"/>
      <c r="I28" s="294"/>
      <c r="K28" s="294"/>
    </row>
    <row r="29" spans="1:11" ht="15" x14ac:dyDescent="0.2">
      <c r="A29" s="664" t="e">
        <f>Terrap.!#REF!</f>
        <v>#REF!</v>
      </c>
      <c r="B29" s="659" t="e">
        <f>Terrap.!#REF!</f>
        <v>#REF!</v>
      </c>
      <c r="C29" s="666"/>
      <c r="D29" s="666"/>
      <c r="E29" s="667"/>
      <c r="F29" s="917"/>
      <c r="G29" s="771"/>
      <c r="H29" s="772"/>
      <c r="I29" s="294"/>
      <c r="K29" s="294"/>
    </row>
    <row r="30" spans="1:11" ht="15" x14ac:dyDescent="0.2">
      <c r="A30" s="664" t="e">
        <f>Terrap.!#REF!</f>
        <v>#REF!</v>
      </c>
      <c r="B30" s="659" t="e">
        <f>Terrap.!#REF!</f>
        <v>#REF!</v>
      </c>
      <c r="C30" s="666"/>
      <c r="D30" s="666"/>
      <c r="E30" s="667"/>
      <c r="F30" s="917"/>
      <c r="G30" s="771"/>
      <c r="H30" s="772"/>
      <c r="I30" s="294"/>
      <c r="K30" s="294"/>
    </row>
    <row r="31" spans="1:11" ht="15" x14ac:dyDescent="0.2">
      <c r="A31" s="664" t="e">
        <f>Terrap.!#REF!</f>
        <v>#REF!</v>
      </c>
      <c r="B31" s="659" t="e">
        <f>Terrap.!#REF!</f>
        <v>#REF!</v>
      </c>
      <c r="C31" s="666"/>
      <c r="D31" s="666"/>
      <c r="E31" s="667"/>
      <c r="F31" s="917"/>
      <c r="G31" s="771"/>
      <c r="H31" s="772"/>
      <c r="I31" s="294"/>
      <c r="K31" s="294"/>
    </row>
    <row r="32" spans="1:11" ht="15" x14ac:dyDescent="0.2">
      <c r="A32" s="664" t="e">
        <f>Terrap.!#REF!</f>
        <v>#REF!</v>
      </c>
      <c r="B32" s="659" t="e">
        <f>Terrap.!#REF!</f>
        <v>#REF!</v>
      </c>
      <c r="C32" s="666"/>
      <c r="D32" s="666"/>
      <c r="E32" s="667"/>
      <c r="F32" s="917"/>
      <c r="G32" s="771"/>
      <c r="H32" s="772"/>
      <c r="I32" s="294"/>
      <c r="K32" s="294"/>
    </row>
    <row r="33" spans="1:11" ht="15" x14ac:dyDescent="0.2">
      <c r="A33" s="664" t="e">
        <f>Terrap.!#REF!</f>
        <v>#REF!</v>
      </c>
      <c r="B33" s="659" t="e">
        <f>Terrap.!#REF!</f>
        <v>#REF!</v>
      </c>
      <c r="C33" s="666"/>
      <c r="D33" s="666"/>
      <c r="E33" s="667"/>
      <c r="F33" s="917"/>
      <c r="G33" s="771"/>
      <c r="H33" s="772"/>
      <c r="I33" s="294"/>
      <c r="K33" s="294"/>
    </row>
    <row r="34" spans="1:11" ht="15" x14ac:dyDescent="0.2">
      <c r="A34" s="664" t="e">
        <f>Terrap.!#REF!</f>
        <v>#REF!</v>
      </c>
      <c r="B34" s="659" t="e">
        <f>Terrap.!#REF!</f>
        <v>#REF!</v>
      </c>
      <c r="C34" s="666"/>
      <c r="D34" s="666"/>
      <c r="E34" s="667"/>
      <c r="F34" s="917"/>
      <c r="G34" s="771"/>
      <c r="H34" s="772"/>
      <c r="I34" s="294"/>
      <c r="K34" s="294"/>
    </row>
    <row r="35" spans="1:11" ht="15" x14ac:dyDescent="0.2">
      <c r="A35" s="664" t="e">
        <f>Terrap.!#REF!</f>
        <v>#REF!</v>
      </c>
      <c r="B35" s="659" t="e">
        <f>Terrap.!#REF!</f>
        <v>#REF!</v>
      </c>
      <c r="C35" s="666"/>
      <c r="D35" s="666"/>
      <c r="E35" s="667"/>
      <c r="F35" s="917"/>
      <c r="G35" s="771"/>
      <c r="H35" s="772"/>
      <c r="I35" s="294"/>
      <c r="K35" s="294"/>
    </row>
    <row r="36" spans="1:11" ht="15" x14ac:dyDescent="0.2">
      <c r="A36" s="664" t="e">
        <f>Terrap.!#REF!</f>
        <v>#REF!</v>
      </c>
      <c r="B36" s="659" t="e">
        <f>Terrap.!#REF!</f>
        <v>#REF!</v>
      </c>
      <c r="C36" s="666"/>
      <c r="D36" s="666"/>
      <c r="E36" s="667"/>
      <c r="F36" s="917"/>
      <c r="G36" s="771"/>
      <c r="H36" s="772"/>
      <c r="I36" s="294"/>
      <c r="K36" s="294"/>
    </row>
    <row r="37" spans="1:11" ht="15" x14ac:dyDescent="0.2">
      <c r="A37" s="664" t="e">
        <f>Terrap.!#REF!</f>
        <v>#REF!</v>
      </c>
      <c r="B37" s="659" t="e">
        <f>Terrap.!#REF!</f>
        <v>#REF!</v>
      </c>
      <c r="C37" s="666"/>
      <c r="D37" s="666"/>
      <c r="E37" s="667"/>
      <c r="F37" s="917"/>
      <c r="G37" s="771"/>
      <c r="H37" s="772"/>
      <c r="I37" s="294"/>
      <c r="K37" s="294"/>
    </row>
    <row r="38" spans="1:11" ht="15" x14ac:dyDescent="0.2">
      <c r="A38" s="664" t="e">
        <f>Terrap.!#REF!</f>
        <v>#REF!</v>
      </c>
      <c r="B38" s="659" t="e">
        <f>Terrap.!#REF!</f>
        <v>#REF!</v>
      </c>
      <c r="C38" s="666"/>
      <c r="D38" s="666"/>
      <c r="E38" s="667"/>
      <c r="F38" s="917"/>
      <c r="G38" s="771"/>
      <c r="H38" s="772"/>
      <c r="I38" s="294"/>
      <c r="K38" s="294"/>
    </row>
    <row r="39" spans="1:11" ht="15" x14ac:dyDescent="0.2">
      <c r="A39" s="664" t="e">
        <f>Terrap.!#REF!</f>
        <v>#REF!</v>
      </c>
      <c r="B39" s="659" t="e">
        <f>Terrap.!#REF!</f>
        <v>#REF!</v>
      </c>
      <c r="C39" s="666"/>
      <c r="D39" s="666"/>
      <c r="E39" s="667"/>
      <c r="F39" s="917"/>
      <c r="G39" s="771"/>
      <c r="H39" s="772"/>
      <c r="I39" s="294"/>
      <c r="K39" s="294"/>
    </row>
    <row r="40" spans="1:11" ht="15" x14ac:dyDescent="0.2">
      <c r="A40" s="664" t="e">
        <f>Terrap.!#REF!</f>
        <v>#REF!</v>
      </c>
      <c r="B40" s="659" t="e">
        <f>Terrap.!#REF!</f>
        <v>#REF!</v>
      </c>
      <c r="C40" s="666"/>
      <c r="D40" s="666"/>
      <c r="E40" s="667"/>
      <c r="F40" s="917"/>
      <c r="G40" s="771"/>
      <c r="H40" s="772"/>
      <c r="I40" s="294"/>
      <c r="K40" s="294"/>
    </row>
    <row r="41" spans="1:11" ht="15" x14ac:dyDescent="0.2">
      <c r="A41" s="664" t="e">
        <f>Terrap.!#REF!</f>
        <v>#REF!</v>
      </c>
      <c r="B41" s="659" t="e">
        <f>Terrap.!#REF!</f>
        <v>#REF!</v>
      </c>
      <c r="C41" s="666"/>
      <c r="D41" s="666"/>
      <c r="E41" s="667"/>
      <c r="F41" s="917"/>
      <c r="G41" s="771"/>
      <c r="H41" s="772"/>
      <c r="I41" s="294"/>
      <c r="K41" s="294"/>
    </row>
    <row r="42" spans="1:11" ht="15" x14ac:dyDescent="0.2">
      <c r="A42" s="664" t="e">
        <f>Terrap.!#REF!</f>
        <v>#REF!</v>
      </c>
      <c r="B42" s="659" t="e">
        <f>Terrap.!#REF!</f>
        <v>#REF!</v>
      </c>
      <c r="C42" s="666"/>
      <c r="D42" s="666"/>
      <c r="E42" s="667"/>
      <c r="F42" s="917"/>
      <c r="G42" s="771"/>
      <c r="H42" s="772"/>
      <c r="I42" s="294"/>
      <c r="K42" s="294"/>
    </row>
    <row r="43" spans="1:11" ht="15" x14ac:dyDescent="0.2">
      <c r="A43" s="664" t="e">
        <f>Terrap.!#REF!</f>
        <v>#REF!</v>
      </c>
      <c r="B43" s="659" t="e">
        <f>Terrap.!#REF!</f>
        <v>#REF!</v>
      </c>
      <c r="C43" s="666"/>
      <c r="D43" s="666"/>
      <c r="E43" s="667"/>
      <c r="F43" s="917"/>
      <c r="G43" s="771"/>
      <c r="H43" s="772"/>
      <c r="I43" s="294"/>
      <c r="K43" s="294"/>
    </row>
    <row r="44" spans="1:11" ht="15" x14ac:dyDescent="0.2">
      <c r="A44" s="664" t="e">
        <f>Terrap.!#REF!</f>
        <v>#REF!</v>
      </c>
      <c r="B44" s="659" t="e">
        <f>Terrap.!#REF!</f>
        <v>#REF!</v>
      </c>
      <c r="C44" s="666"/>
      <c r="D44" s="666"/>
      <c r="E44" s="667"/>
      <c r="F44" s="917"/>
      <c r="G44" s="771"/>
      <c r="H44" s="772"/>
      <c r="I44" s="294"/>
      <c r="K44" s="294"/>
    </row>
    <row r="45" spans="1:11" ht="15" x14ac:dyDescent="0.2">
      <c r="A45" s="664" t="e">
        <f>Terrap.!#REF!</f>
        <v>#REF!</v>
      </c>
      <c r="B45" s="659" t="e">
        <f>Terrap.!#REF!</f>
        <v>#REF!</v>
      </c>
      <c r="C45" s="666"/>
      <c r="D45" s="666"/>
      <c r="E45" s="667"/>
      <c r="F45" s="952"/>
      <c r="G45" s="771"/>
      <c r="H45" s="772"/>
      <c r="I45" s="294"/>
      <c r="K45" s="294"/>
    </row>
    <row r="46" spans="1:11" ht="15" x14ac:dyDescent="0.2">
      <c r="A46" s="664" t="e">
        <f>Terrap.!#REF!</f>
        <v>#REF!</v>
      </c>
      <c r="B46" s="659" t="e">
        <f>Terrap.!#REF!</f>
        <v>#REF!</v>
      </c>
      <c r="C46" s="666"/>
      <c r="D46" s="666"/>
      <c r="E46" s="667"/>
      <c r="F46" s="917"/>
      <c r="G46" s="771"/>
      <c r="H46" s="772"/>
      <c r="I46" s="294"/>
      <c r="K46" s="294"/>
    </row>
    <row r="47" spans="1:11" ht="15.75" thickBot="1" x14ac:dyDescent="0.25">
      <c r="A47" s="681"/>
      <c r="B47" s="773"/>
      <c r="C47" s="774"/>
      <c r="D47" s="775"/>
      <c r="E47" s="776"/>
      <c r="F47" s="833"/>
      <c r="G47" s="777"/>
      <c r="H47" s="778"/>
      <c r="I47" s="294"/>
      <c r="K47" s="294"/>
    </row>
    <row r="48" spans="1:11" x14ac:dyDescent="0.2">
      <c r="A48" s="399"/>
      <c r="B48" s="399"/>
      <c r="C48" s="399"/>
      <c r="D48" s="399"/>
      <c r="E48" s="399"/>
      <c r="F48" s="399"/>
      <c r="G48" s="399"/>
      <c r="H48" s="399"/>
      <c r="K48" s="294"/>
    </row>
    <row r="49" spans="1:11" x14ac:dyDescent="0.2">
      <c r="A49" s="399"/>
      <c r="B49" s="400"/>
      <c r="C49" s="399"/>
      <c r="D49" s="399"/>
      <c r="E49" s="399"/>
      <c r="F49" s="399"/>
      <c r="G49" s="401"/>
      <c r="H49" s="399"/>
      <c r="K49" s="294"/>
    </row>
    <row r="50" spans="1:11" ht="15.75" x14ac:dyDescent="0.2">
      <c r="A50" s="399"/>
      <c r="B50" s="900" t="str">
        <f>Terrap.!B26</f>
        <v>Robson Darcio Sousa</v>
      </c>
      <c r="C50" s="399"/>
      <c r="D50" s="399"/>
      <c r="E50" s="402"/>
      <c r="F50" s="399"/>
      <c r="G50" s="399"/>
      <c r="H50" s="399"/>
    </row>
    <row r="51" spans="1:11" x14ac:dyDescent="0.2">
      <c r="A51" s="399"/>
      <c r="B51" s="901" t="str">
        <f>Terrap.!B27</f>
        <v>ENGº CIVIL</v>
      </c>
      <c r="C51" s="399"/>
      <c r="D51" s="399"/>
      <c r="E51" s="399"/>
      <c r="F51" s="399"/>
      <c r="G51" s="399"/>
      <c r="H51" s="399"/>
    </row>
    <row r="52" spans="1:11" x14ac:dyDescent="0.2">
      <c r="A52" s="399"/>
      <c r="B52" s="901" t="str">
        <f>Terrap.!B28</f>
        <v>Crea: 120.263.916-0</v>
      </c>
      <c r="C52" s="399"/>
      <c r="D52" s="399"/>
      <c r="E52" s="399"/>
      <c r="F52" s="399"/>
      <c r="G52" s="399"/>
      <c r="H52" s="399"/>
    </row>
  </sheetData>
  <mergeCells count="15">
    <mergeCell ref="A1:H1"/>
    <mergeCell ref="A2:H2"/>
    <mergeCell ref="A10:H10"/>
    <mergeCell ref="A7:H7"/>
    <mergeCell ref="A8:A9"/>
    <mergeCell ref="B8:B9"/>
    <mergeCell ref="C8:D8"/>
    <mergeCell ref="E8:F8"/>
    <mergeCell ref="G8:H8"/>
    <mergeCell ref="B3:G3"/>
    <mergeCell ref="H3:H6"/>
    <mergeCell ref="B4:G4"/>
    <mergeCell ref="B5:D5"/>
    <mergeCell ref="F5:G5"/>
    <mergeCell ref="B6:D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1:N28"/>
  <sheetViews>
    <sheetView view="pageBreakPreview" topLeftCell="C1" zoomScale="115" zoomScaleSheetLayoutView="115" workbookViewId="0">
      <selection activeCell="A18" sqref="A18:A22"/>
    </sheetView>
  </sheetViews>
  <sheetFormatPr defaultColWidth="9.140625" defaultRowHeight="12.75" x14ac:dyDescent="0.2"/>
  <cols>
    <col min="1" max="1" width="12.28515625" style="268" customWidth="1"/>
    <col min="2" max="2" width="49.140625" style="268" customWidth="1"/>
    <col min="3" max="3" width="12.5703125" style="268" bestFit="1" customWidth="1"/>
    <col min="4" max="5" width="9.28515625" style="268" bestFit="1" customWidth="1"/>
    <col min="6" max="6" width="9.28515625" style="268" customWidth="1"/>
    <col min="7" max="7" width="9.7109375" style="268" bestFit="1" customWidth="1"/>
    <col min="8" max="8" width="9.28515625" style="268" bestFit="1" customWidth="1"/>
    <col min="9" max="9" width="9.28515625" style="268" customWidth="1"/>
    <col min="10" max="12" width="11" style="268" customWidth="1"/>
    <col min="13" max="13" width="13.140625" style="268" customWidth="1"/>
    <col min="14" max="14" width="15.140625" style="268" customWidth="1"/>
    <col min="15" max="16384" width="9.140625" style="268"/>
  </cols>
  <sheetData>
    <row r="1" spans="1:14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3"/>
    </row>
    <row r="2" spans="1:14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6"/>
    </row>
    <row r="3" spans="1:14" x14ac:dyDescent="0.2">
      <c r="A3" s="405" t="s">
        <v>56</v>
      </c>
      <c r="B3" s="1222" t="str">
        <f>Terrap.!B3</f>
        <v xml:space="preserve">PAVIMENTAÇÃO ASFALTICA E DRENAGEM DE AGUAS PLUVIAIS </v>
      </c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3"/>
    </row>
    <row r="4" spans="1:14" x14ac:dyDescent="0.2">
      <c r="A4" s="405" t="s">
        <v>57</v>
      </c>
      <c r="B4" s="1222" t="str">
        <f>Terrap.!B4</f>
        <v>DIVERSAS RUAS - PERIMETRO URBANO</v>
      </c>
      <c r="C4" s="1222"/>
      <c r="D4" s="1222"/>
      <c r="E4" s="1222"/>
      <c r="F4" s="1222"/>
      <c r="G4" s="1222"/>
      <c r="H4" s="1222"/>
      <c r="I4" s="1222"/>
      <c r="J4" s="1232" t="s">
        <v>60</v>
      </c>
      <c r="K4" s="1228" t="s">
        <v>362</v>
      </c>
      <c r="L4" s="1228" t="s">
        <v>61</v>
      </c>
      <c r="M4" s="1224" t="str">
        <f>Terrap.!I3</f>
        <v>SINAPI - JULHO / 2020    DESONERADO                                                                                                                           SICRO 10/2019</v>
      </c>
      <c r="N4" s="1225"/>
    </row>
    <row r="5" spans="1:14" ht="16.5" customHeight="1" x14ac:dyDescent="0.2">
      <c r="A5" s="405" t="s">
        <v>58</v>
      </c>
      <c r="B5" s="1222" t="str">
        <f>Terrap.!B5</f>
        <v xml:space="preserve">PREFEITURA MUNICIPAL DE BARRA DO BUGRES </v>
      </c>
      <c r="C5" s="1222"/>
      <c r="D5" s="1222"/>
      <c r="E5" s="1222"/>
      <c r="F5" s="1222"/>
      <c r="G5" s="1222"/>
      <c r="H5" s="1222"/>
      <c r="I5" s="1222"/>
      <c r="J5" s="1233"/>
      <c r="K5" s="1231"/>
      <c r="L5" s="1229"/>
      <c r="M5" s="1224"/>
      <c r="N5" s="1225"/>
    </row>
    <row r="6" spans="1:14" ht="22.5" customHeight="1" thickBot="1" x14ac:dyDescent="0.25">
      <c r="A6" s="407" t="s">
        <v>59</v>
      </c>
      <c r="B6" s="1234">
        <f>Pavim.!B6</f>
        <v>31131.72</v>
      </c>
      <c r="C6" s="1234"/>
      <c r="D6" s="1234"/>
      <c r="E6" s="1234"/>
      <c r="F6" s="1234"/>
      <c r="G6" s="1234"/>
      <c r="H6" s="1234"/>
      <c r="I6" s="1234"/>
      <c r="J6" s="980">
        <f>Terrap.!F6</f>
        <v>0.25640000000000002</v>
      </c>
      <c r="K6" s="978" t="str">
        <f>Terrap.!F5</f>
        <v>AGOSTO 2020</v>
      </c>
      <c r="L6" s="1230"/>
      <c r="M6" s="1226"/>
      <c r="N6" s="1227"/>
    </row>
    <row r="7" spans="1:14" ht="20.25" customHeight="1" thickBot="1" x14ac:dyDescent="0.25">
      <c r="A7" s="973" t="s">
        <v>303</v>
      </c>
      <c r="B7" s="979"/>
      <c r="C7" s="979"/>
      <c r="D7" s="979"/>
      <c r="E7" s="979"/>
      <c r="F7" s="979"/>
      <c r="G7" s="979"/>
      <c r="H7" s="979"/>
      <c r="I7" s="979"/>
      <c r="J7" s="974"/>
      <c r="K7" s="1235" t="s">
        <v>661</v>
      </c>
      <c r="L7" s="1236"/>
      <c r="M7" s="1235" t="s">
        <v>662</v>
      </c>
      <c r="N7" s="1236"/>
    </row>
    <row r="8" spans="1:14" ht="26.25" customHeight="1" x14ac:dyDescent="0.2">
      <c r="A8" s="1125" t="s">
        <v>62</v>
      </c>
      <c r="B8" s="1126" t="s">
        <v>63</v>
      </c>
      <c r="C8" s="1127" t="s">
        <v>66</v>
      </c>
      <c r="D8" s="1127" t="s">
        <v>689</v>
      </c>
      <c r="E8" s="1127" t="s">
        <v>332</v>
      </c>
      <c r="F8" s="1127" t="s">
        <v>659</v>
      </c>
      <c r="G8" s="1127" t="s">
        <v>690</v>
      </c>
      <c r="H8" s="1127" t="s">
        <v>333</v>
      </c>
      <c r="I8" s="1127" t="s">
        <v>660</v>
      </c>
      <c r="J8" s="1127" t="s">
        <v>304</v>
      </c>
      <c r="K8" s="1127" t="s">
        <v>305</v>
      </c>
      <c r="L8" s="1132" t="s">
        <v>306</v>
      </c>
      <c r="M8" s="1127" t="s">
        <v>305</v>
      </c>
      <c r="N8" s="1132" t="s">
        <v>306</v>
      </c>
    </row>
    <row r="9" spans="1:14" x14ac:dyDescent="0.2">
      <c r="A9" s="1217"/>
      <c r="B9" s="1218"/>
      <c r="C9" s="1219"/>
      <c r="D9" s="1219"/>
      <c r="E9" s="1219"/>
      <c r="F9" s="1219"/>
      <c r="G9" s="1219"/>
      <c r="H9" s="1219"/>
      <c r="I9" s="1219"/>
      <c r="J9" s="1219"/>
      <c r="K9" s="1219"/>
      <c r="L9" s="1221"/>
      <c r="M9" s="1219"/>
      <c r="N9" s="1221"/>
    </row>
    <row r="10" spans="1:14" x14ac:dyDescent="0.2">
      <c r="A10" s="1217" t="s">
        <v>614</v>
      </c>
      <c r="B10" s="1218"/>
      <c r="C10" s="1218"/>
      <c r="D10" s="1218"/>
      <c r="E10" s="1218"/>
      <c r="F10" s="1218"/>
      <c r="G10" s="1218"/>
      <c r="H10" s="1218"/>
      <c r="I10" s="1218"/>
      <c r="J10" s="1218"/>
      <c r="K10" s="1218"/>
      <c r="L10" s="1218"/>
      <c r="M10" s="1218"/>
      <c r="N10" s="1220"/>
    </row>
    <row r="11" spans="1:14" x14ac:dyDescent="0.2">
      <c r="A11" s="541">
        <f>Terrap.!A11</f>
        <v>1</v>
      </c>
      <c r="B11" s="542" t="str">
        <f>Terrap.!B11</f>
        <v>RUAS DAS MARGARIDAS</v>
      </c>
      <c r="C11" s="543">
        <f>Pavim.!J11</f>
        <v>3978.98</v>
      </c>
      <c r="D11" s="544">
        <v>11</v>
      </c>
      <c r="E11" s="544">
        <v>22</v>
      </c>
      <c r="F11" s="544">
        <v>12</v>
      </c>
      <c r="G11" s="545">
        <f>C11*D11/1000</f>
        <v>43.77</v>
      </c>
      <c r="H11" s="545">
        <f>C11*E11/1000</f>
        <v>87.54</v>
      </c>
      <c r="I11" s="545">
        <f>(C11*F11)/1000</f>
        <v>47.75</v>
      </c>
      <c r="J11" s="545">
        <f>SUM(G11:H11)</f>
        <v>131.31</v>
      </c>
      <c r="K11" s="545">
        <v>2</v>
      </c>
      <c r="L11" s="545">
        <f>I11*K11</f>
        <v>95.5</v>
      </c>
      <c r="M11" s="545">
        <v>76</v>
      </c>
      <c r="N11" s="546">
        <f>J11*M11</f>
        <v>9979.56</v>
      </c>
    </row>
    <row r="12" spans="1:14" x14ac:dyDescent="0.2">
      <c r="A12" s="541">
        <f>Terrap.!A12</f>
        <v>2</v>
      </c>
      <c r="B12" s="542" t="str">
        <f>Terrap.!B12</f>
        <v>RUA DOS GIRASSÓIS</v>
      </c>
      <c r="C12" s="543">
        <f>Pavim.!J12</f>
        <v>3978.98</v>
      </c>
      <c r="D12" s="544">
        <f>$D$11</f>
        <v>11</v>
      </c>
      <c r="E12" s="544">
        <f>$E$11</f>
        <v>22</v>
      </c>
      <c r="F12" s="544">
        <f>F11</f>
        <v>12</v>
      </c>
      <c r="G12" s="545">
        <f t="shared" ref="G12" si="0">C12*D12/1000</f>
        <v>43.77</v>
      </c>
      <c r="H12" s="545">
        <f t="shared" ref="H12" si="1">C12*E12/1000</f>
        <v>87.54</v>
      </c>
      <c r="I12" s="545">
        <f t="shared" ref="I12:I22" si="2">(C12*F12)/1000</f>
        <v>47.75</v>
      </c>
      <c r="J12" s="545">
        <f t="shared" ref="J12" si="3">SUM(G12:H12)</f>
        <v>131.31</v>
      </c>
      <c r="K12" s="545">
        <f>K11</f>
        <v>2</v>
      </c>
      <c r="L12" s="545">
        <f>I12*K12</f>
        <v>95.5</v>
      </c>
      <c r="M12" s="545">
        <f>$M$11</f>
        <v>76</v>
      </c>
      <c r="N12" s="546">
        <f t="shared" ref="N12" si="4">J12*M12</f>
        <v>9979.56</v>
      </c>
    </row>
    <row r="13" spans="1:14" x14ac:dyDescent="0.2">
      <c r="A13" s="541">
        <f>Terrap.!A13</f>
        <v>3</v>
      </c>
      <c r="B13" s="542" t="str">
        <f>Terrap.!B13</f>
        <v>RUAS DAS CEREJEIRAS</v>
      </c>
      <c r="C13" s="543">
        <f>Pavim.!J13</f>
        <v>3917.72</v>
      </c>
      <c r="D13" s="544">
        <f t="shared" ref="D13:D21" si="5">$D$11</f>
        <v>11</v>
      </c>
      <c r="E13" s="544">
        <f t="shared" ref="E13:E21" si="6">$E$11</f>
        <v>22</v>
      </c>
      <c r="F13" s="544">
        <f t="shared" ref="F13:F21" si="7">F12</f>
        <v>12</v>
      </c>
      <c r="G13" s="545">
        <f t="shared" ref="G13" si="8">C13*D13/1000</f>
        <v>43.09</v>
      </c>
      <c r="H13" s="545">
        <f t="shared" ref="H13" si="9">C13*E13/1000</f>
        <v>86.19</v>
      </c>
      <c r="I13" s="545">
        <f t="shared" si="2"/>
        <v>47.01</v>
      </c>
      <c r="J13" s="545">
        <f t="shared" ref="J13" si="10">SUM(G13:H13)</f>
        <v>129.28</v>
      </c>
      <c r="K13" s="545">
        <f t="shared" ref="K13:K21" si="11">K12</f>
        <v>2</v>
      </c>
      <c r="L13" s="545">
        <f t="shared" ref="L13:L22" si="12">I13*K13</f>
        <v>94.02</v>
      </c>
      <c r="M13" s="545">
        <f t="shared" ref="M13:M21" si="13">$M$11</f>
        <v>76</v>
      </c>
      <c r="N13" s="546">
        <f t="shared" ref="N13" si="14">J13*M13</f>
        <v>9825.2800000000007</v>
      </c>
    </row>
    <row r="14" spans="1:14" x14ac:dyDescent="0.2">
      <c r="A14" s="541">
        <f>Terrap.!A14</f>
        <v>4</v>
      </c>
      <c r="B14" s="542" t="str">
        <f>Terrap.!B14</f>
        <v>RUA DAS JARACATIÁS</v>
      </c>
      <c r="C14" s="543">
        <f>Pavim.!J14</f>
        <v>4820.76</v>
      </c>
      <c r="D14" s="544">
        <f t="shared" si="5"/>
        <v>11</v>
      </c>
      <c r="E14" s="544">
        <f t="shared" si="6"/>
        <v>22</v>
      </c>
      <c r="F14" s="544">
        <f t="shared" si="7"/>
        <v>12</v>
      </c>
      <c r="G14" s="545">
        <f t="shared" ref="G14:G22" si="15">C14*D14/1000</f>
        <v>53.03</v>
      </c>
      <c r="H14" s="545">
        <f t="shared" ref="H14:H22" si="16">C14*E14/1000</f>
        <v>106.06</v>
      </c>
      <c r="I14" s="545">
        <f t="shared" si="2"/>
        <v>57.85</v>
      </c>
      <c r="J14" s="545">
        <f t="shared" ref="J14:J22" si="17">SUM(G14:H14)</f>
        <v>159.09</v>
      </c>
      <c r="K14" s="545">
        <f t="shared" si="11"/>
        <v>2</v>
      </c>
      <c r="L14" s="545">
        <f t="shared" si="12"/>
        <v>115.7</v>
      </c>
      <c r="M14" s="545">
        <f t="shared" si="13"/>
        <v>76</v>
      </c>
      <c r="N14" s="546">
        <f t="shared" ref="N14:N22" si="18">J14*M14</f>
        <v>12090.84</v>
      </c>
    </row>
    <row r="15" spans="1:14" x14ac:dyDescent="0.2">
      <c r="A15" s="541">
        <f>Terrap.!A15</f>
        <v>5</v>
      </c>
      <c r="B15" s="542" t="str">
        <f>Terrap.!B15</f>
        <v>AV CONSTITUINTE</v>
      </c>
      <c r="C15" s="543">
        <f>Pavim.!J15</f>
        <v>1712.83</v>
      </c>
      <c r="D15" s="544">
        <f t="shared" si="5"/>
        <v>11</v>
      </c>
      <c r="E15" s="544">
        <f t="shared" si="6"/>
        <v>22</v>
      </c>
      <c r="F15" s="544">
        <f t="shared" si="7"/>
        <v>12</v>
      </c>
      <c r="G15" s="545">
        <f t="shared" si="15"/>
        <v>18.84</v>
      </c>
      <c r="H15" s="545">
        <f t="shared" si="16"/>
        <v>37.68</v>
      </c>
      <c r="I15" s="545">
        <f t="shared" si="2"/>
        <v>20.55</v>
      </c>
      <c r="J15" s="545">
        <f t="shared" si="17"/>
        <v>56.52</v>
      </c>
      <c r="K15" s="545">
        <f t="shared" si="11"/>
        <v>2</v>
      </c>
      <c r="L15" s="545">
        <f t="shared" si="12"/>
        <v>41.1</v>
      </c>
      <c r="M15" s="545">
        <f t="shared" si="13"/>
        <v>76</v>
      </c>
      <c r="N15" s="546">
        <f t="shared" si="18"/>
        <v>4295.5200000000004</v>
      </c>
    </row>
    <row r="16" spans="1:14" x14ac:dyDescent="0.2">
      <c r="A16" s="541">
        <f>Terrap.!A16</f>
        <v>6</v>
      </c>
      <c r="B16" s="542" t="str">
        <f>Terrap.!B16</f>
        <v>RUA FLAMBOYANT</v>
      </c>
      <c r="C16" s="543">
        <f>Pavim.!J16</f>
        <v>1420.28</v>
      </c>
      <c r="D16" s="544">
        <f t="shared" si="5"/>
        <v>11</v>
      </c>
      <c r="E16" s="544">
        <f t="shared" si="6"/>
        <v>22</v>
      </c>
      <c r="F16" s="544">
        <f t="shared" si="7"/>
        <v>12</v>
      </c>
      <c r="G16" s="545">
        <f t="shared" si="15"/>
        <v>15.62</v>
      </c>
      <c r="H16" s="545">
        <f t="shared" si="16"/>
        <v>31.25</v>
      </c>
      <c r="I16" s="545">
        <f t="shared" si="2"/>
        <v>17.04</v>
      </c>
      <c r="J16" s="545">
        <f t="shared" si="17"/>
        <v>46.87</v>
      </c>
      <c r="K16" s="545">
        <f t="shared" si="11"/>
        <v>2</v>
      </c>
      <c r="L16" s="545">
        <f t="shared" si="12"/>
        <v>34.08</v>
      </c>
      <c r="M16" s="545">
        <f t="shared" si="13"/>
        <v>76</v>
      </c>
      <c r="N16" s="546">
        <f t="shared" si="18"/>
        <v>3562.12</v>
      </c>
    </row>
    <row r="17" spans="1:14" x14ac:dyDescent="0.2">
      <c r="A17" s="541">
        <f>Terrap.!A17</f>
        <v>7</v>
      </c>
      <c r="B17" s="542" t="str">
        <f>Terrap.!B17</f>
        <v>RUA CAMPOS ELISIOS</v>
      </c>
      <c r="C17" s="543">
        <f>Pavim.!J17</f>
        <v>1379.84</v>
      </c>
      <c r="D17" s="544">
        <f t="shared" si="5"/>
        <v>11</v>
      </c>
      <c r="E17" s="544">
        <f t="shared" si="6"/>
        <v>22</v>
      </c>
      <c r="F17" s="544">
        <f t="shared" si="7"/>
        <v>12</v>
      </c>
      <c r="G17" s="545">
        <f t="shared" si="15"/>
        <v>15.18</v>
      </c>
      <c r="H17" s="545">
        <f t="shared" si="16"/>
        <v>30.36</v>
      </c>
      <c r="I17" s="545">
        <f t="shared" si="2"/>
        <v>16.559999999999999</v>
      </c>
      <c r="J17" s="545">
        <f t="shared" si="17"/>
        <v>45.54</v>
      </c>
      <c r="K17" s="545">
        <f t="shared" si="11"/>
        <v>2</v>
      </c>
      <c r="L17" s="545">
        <f t="shared" si="12"/>
        <v>33.119999999999997</v>
      </c>
      <c r="M17" s="545">
        <f t="shared" si="13"/>
        <v>76</v>
      </c>
      <c r="N17" s="546">
        <f t="shared" si="18"/>
        <v>3461.04</v>
      </c>
    </row>
    <row r="18" spans="1:14" x14ac:dyDescent="0.2">
      <c r="A18" s="541">
        <f>Terrap.!A18</f>
        <v>8</v>
      </c>
      <c r="B18" s="542" t="str">
        <f>Terrap.!B18</f>
        <v>RUA SAMAMBAIAS</v>
      </c>
      <c r="C18" s="543">
        <f>Pavim.!J18</f>
        <v>1404.8</v>
      </c>
      <c r="D18" s="544">
        <f t="shared" si="5"/>
        <v>11</v>
      </c>
      <c r="E18" s="544">
        <f t="shared" si="6"/>
        <v>22</v>
      </c>
      <c r="F18" s="544">
        <f t="shared" si="7"/>
        <v>12</v>
      </c>
      <c r="G18" s="545">
        <f t="shared" si="15"/>
        <v>15.45</v>
      </c>
      <c r="H18" s="545">
        <f t="shared" si="16"/>
        <v>30.91</v>
      </c>
      <c r="I18" s="545">
        <f t="shared" si="2"/>
        <v>16.86</v>
      </c>
      <c r="J18" s="545">
        <f t="shared" si="17"/>
        <v>46.36</v>
      </c>
      <c r="K18" s="545">
        <f t="shared" si="11"/>
        <v>2</v>
      </c>
      <c r="L18" s="545">
        <f t="shared" si="12"/>
        <v>33.72</v>
      </c>
      <c r="M18" s="545">
        <f t="shared" si="13"/>
        <v>76</v>
      </c>
      <c r="N18" s="546">
        <f t="shared" si="18"/>
        <v>3523.36</v>
      </c>
    </row>
    <row r="19" spans="1:14" x14ac:dyDescent="0.2">
      <c r="A19" s="541">
        <f>Terrap.!A19</f>
        <v>9</v>
      </c>
      <c r="B19" s="985" t="str">
        <f>Terrap.!B19</f>
        <v>RUA PARAÍSO</v>
      </c>
      <c r="C19" s="543">
        <f>Pavim.!J19</f>
        <v>2757.45</v>
      </c>
      <c r="D19" s="544">
        <f t="shared" si="5"/>
        <v>11</v>
      </c>
      <c r="E19" s="544">
        <f t="shared" si="6"/>
        <v>22</v>
      </c>
      <c r="F19" s="544">
        <f t="shared" si="7"/>
        <v>12</v>
      </c>
      <c r="G19" s="545">
        <f t="shared" si="15"/>
        <v>30.33</v>
      </c>
      <c r="H19" s="545">
        <f t="shared" si="16"/>
        <v>60.66</v>
      </c>
      <c r="I19" s="545">
        <f t="shared" si="2"/>
        <v>33.090000000000003</v>
      </c>
      <c r="J19" s="545">
        <f t="shared" si="17"/>
        <v>90.99</v>
      </c>
      <c r="K19" s="545">
        <f t="shared" si="11"/>
        <v>2</v>
      </c>
      <c r="L19" s="545">
        <f t="shared" si="12"/>
        <v>66.180000000000007</v>
      </c>
      <c r="M19" s="545">
        <f t="shared" si="13"/>
        <v>76</v>
      </c>
      <c r="N19" s="546">
        <f t="shared" si="18"/>
        <v>6915.24</v>
      </c>
    </row>
    <row r="20" spans="1:14" x14ac:dyDescent="0.2">
      <c r="A20" s="541">
        <f>Terrap.!A20</f>
        <v>10</v>
      </c>
      <c r="B20" s="985" t="str">
        <f>Terrap.!B20</f>
        <v>RUA IMPERIAL</v>
      </c>
      <c r="C20" s="543">
        <f>Pavim.!J20</f>
        <v>3243.85</v>
      </c>
      <c r="D20" s="544">
        <f t="shared" si="5"/>
        <v>11</v>
      </c>
      <c r="E20" s="544">
        <f t="shared" si="6"/>
        <v>22</v>
      </c>
      <c r="F20" s="544">
        <f t="shared" si="7"/>
        <v>12</v>
      </c>
      <c r="G20" s="545">
        <f t="shared" si="15"/>
        <v>35.68</v>
      </c>
      <c r="H20" s="545">
        <f t="shared" si="16"/>
        <v>71.36</v>
      </c>
      <c r="I20" s="545">
        <f t="shared" si="2"/>
        <v>38.93</v>
      </c>
      <c r="J20" s="545">
        <f t="shared" si="17"/>
        <v>107.04</v>
      </c>
      <c r="K20" s="545">
        <f t="shared" si="11"/>
        <v>2</v>
      </c>
      <c r="L20" s="545">
        <f t="shared" si="12"/>
        <v>77.86</v>
      </c>
      <c r="M20" s="545">
        <f t="shared" si="13"/>
        <v>76</v>
      </c>
      <c r="N20" s="546">
        <f t="shared" si="18"/>
        <v>8135.04</v>
      </c>
    </row>
    <row r="21" spans="1:14" x14ac:dyDescent="0.2">
      <c r="A21" s="541">
        <f>Terrap.!A21</f>
        <v>11</v>
      </c>
      <c r="B21" s="985" t="str">
        <f>Terrap.!B21</f>
        <v>RUA VIRTUDE</v>
      </c>
      <c r="C21" s="543">
        <f>Pavim.!J21</f>
        <v>1894.97</v>
      </c>
      <c r="D21" s="544">
        <f t="shared" si="5"/>
        <v>11</v>
      </c>
      <c r="E21" s="544">
        <f t="shared" si="6"/>
        <v>22</v>
      </c>
      <c r="F21" s="544">
        <f t="shared" si="7"/>
        <v>12</v>
      </c>
      <c r="G21" s="545">
        <f t="shared" si="15"/>
        <v>20.84</v>
      </c>
      <c r="H21" s="545">
        <f t="shared" si="16"/>
        <v>41.69</v>
      </c>
      <c r="I21" s="545">
        <f t="shared" si="2"/>
        <v>22.74</v>
      </c>
      <c r="J21" s="545">
        <f t="shared" si="17"/>
        <v>62.53</v>
      </c>
      <c r="K21" s="545">
        <f t="shared" si="11"/>
        <v>2</v>
      </c>
      <c r="L21" s="545">
        <f t="shared" si="12"/>
        <v>45.48</v>
      </c>
      <c r="M21" s="545">
        <f t="shared" si="13"/>
        <v>76</v>
      </c>
      <c r="N21" s="546">
        <f t="shared" si="18"/>
        <v>4752.28</v>
      </c>
    </row>
    <row r="22" spans="1:14" x14ac:dyDescent="0.2">
      <c r="A22" s="541">
        <f>Terrap.!A22</f>
        <v>12</v>
      </c>
      <c r="B22" s="542" t="str">
        <f>Terrap.!B22</f>
        <v>AV. PRESIDENTE TANCREDO NEVES</v>
      </c>
      <c r="C22" s="543">
        <f>Pavim.!J22</f>
        <v>621.26</v>
      </c>
      <c r="D22" s="544">
        <f t="shared" ref="D22" si="19">$D$11</f>
        <v>11</v>
      </c>
      <c r="E22" s="544">
        <f t="shared" ref="E22" si="20">$E$11</f>
        <v>22</v>
      </c>
      <c r="F22" s="544">
        <f>F18</f>
        <v>12</v>
      </c>
      <c r="G22" s="545">
        <f t="shared" si="15"/>
        <v>6.83</v>
      </c>
      <c r="H22" s="545">
        <f t="shared" si="16"/>
        <v>13.67</v>
      </c>
      <c r="I22" s="545">
        <f t="shared" si="2"/>
        <v>7.46</v>
      </c>
      <c r="J22" s="545">
        <f t="shared" si="17"/>
        <v>20.5</v>
      </c>
      <c r="K22" s="545">
        <f>K18</f>
        <v>2</v>
      </c>
      <c r="L22" s="545">
        <f t="shared" si="12"/>
        <v>14.92</v>
      </c>
      <c r="M22" s="545">
        <f t="shared" ref="M22" si="21">$M$11</f>
        <v>76</v>
      </c>
      <c r="N22" s="546">
        <f t="shared" si="18"/>
        <v>1558</v>
      </c>
    </row>
    <row r="23" spans="1:14" ht="13.5" thickBot="1" x14ac:dyDescent="0.25">
      <c r="A23" s="1123" t="s">
        <v>70</v>
      </c>
      <c r="B23" s="1124"/>
      <c r="C23" s="547">
        <f>SUM(C11:C22)</f>
        <v>31131.72</v>
      </c>
      <c r="D23" s="547"/>
      <c r="E23" s="547"/>
      <c r="F23" s="547"/>
      <c r="G23" s="548">
        <f>SUM(G11:G22)</f>
        <v>342.43</v>
      </c>
      <c r="H23" s="548">
        <f>SUM(H11:H22)</f>
        <v>684.91</v>
      </c>
      <c r="I23" s="548">
        <f>SUM(I11:I22)</f>
        <v>373.59</v>
      </c>
      <c r="J23" s="548">
        <f>SUM(J11:J22)</f>
        <v>1027.3399999999999</v>
      </c>
      <c r="K23" s="548"/>
      <c r="L23" s="548">
        <f>SUM(L11:L22)</f>
        <v>747.18</v>
      </c>
      <c r="M23" s="549"/>
      <c r="N23" s="562">
        <f>SUM(N11:N22)</f>
        <v>78077.84</v>
      </c>
    </row>
    <row r="24" spans="1:14" x14ac:dyDescent="0.2">
      <c r="A24" s="264"/>
      <c r="B24" s="264"/>
      <c r="C24" s="265"/>
      <c r="D24" s="265"/>
      <c r="E24" s="265"/>
      <c r="F24" s="265"/>
      <c r="G24" s="266"/>
      <c r="H24" s="266"/>
      <c r="I24" s="266"/>
      <c r="J24" s="266"/>
      <c r="K24" s="266"/>
      <c r="L24" s="266"/>
      <c r="M24" s="400"/>
      <c r="N24" s="266"/>
    </row>
    <row r="26" spans="1:14" x14ac:dyDescent="0.2">
      <c r="B26" s="403" t="str">
        <f>Terrap.!B26</f>
        <v>Robson Darcio Sousa</v>
      </c>
    </row>
    <row r="27" spans="1:14" x14ac:dyDescent="0.2">
      <c r="B27" s="404" t="str">
        <f>Terrap.!B27</f>
        <v>ENGº CIVIL</v>
      </c>
    </row>
    <row r="28" spans="1:14" x14ac:dyDescent="0.2">
      <c r="B28" s="404" t="str">
        <f>Terrap.!B28</f>
        <v>Crea: 120.263.916-0</v>
      </c>
    </row>
  </sheetData>
  <mergeCells count="28">
    <mergeCell ref="M7:N7"/>
    <mergeCell ref="K7:L7"/>
    <mergeCell ref="K8:K9"/>
    <mergeCell ref="L8:L9"/>
    <mergeCell ref="E8:E9"/>
    <mergeCell ref="G8:G9"/>
    <mergeCell ref="H8:H9"/>
    <mergeCell ref="J8:J9"/>
    <mergeCell ref="M8:M9"/>
    <mergeCell ref="A1:N1"/>
    <mergeCell ref="A2:N2"/>
    <mergeCell ref="B3:N3"/>
    <mergeCell ref="M4:N6"/>
    <mergeCell ref="L4:L6"/>
    <mergeCell ref="K4:K5"/>
    <mergeCell ref="J4:J5"/>
    <mergeCell ref="B4:I4"/>
    <mergeCell ref="B5:I5"/>
    <mergeCell ref="B6:I6"/>
    <mergeCell ref="A23:B23"/>
    <mergeCell ref="A8:A9"/>
    <mergeCell ref="B8:B9"/>
    <mergeCell ref="C8:C9"/>
    <mergeCell ref="D8:D9"/>
    <mergeCell ref="A10:N10"/>
    <mergeCell ref="N8:N9"/>
    <mergeCell ref="F8:F9"/>
    <mergeCell ref="I8:I9"/>
  </mergeCells>
  <pageMargins left="0.511811024" right="0.511811024" top="0.78740157499999996" bottom="0.78740157499999996" header="0.31496062000000002" footer="0.31496062000000002"/>
  <pageSetup paperSize="9" scale="7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J29"/>
  <sheetViews>
    <sheetView view="pageBreakPreview" zoomScaleSheetLayoutView="100" workbookViewId="0">
      <selection activeCell="A18" sqref="A18:A22"/>
    </sheetView>
  </sheetViews>
  <sheetFormatPr defaultColWidth="9.140625" defaultRowHeight="12.75" x14ac:dyDescent="0.2"/>
  <cols>
    <col min="1" max="1" width="12.42578125" style="269" customWidth="1"/>
    <col min="2" max="2" width="42.7109375" style="269" customWidth="1"/>
    <col min="3" max="3" width="12.28515625" style="269" customWidth="1"/>
    <col min="4" max="4" width="11.5703125" style="269" bestFit="1" customWidth="1"/>
    <col min="5" max="5" width="9" style="269" customWidth="1"/>
    <col min="6" max="6" width="9.140625" style="269" bestFit="1" customWidth="1"/>
    <col min="7" max="7" width="9.42578125" style="269" customWidth="1"/>
    <col min="8" max="8" width="11.85546875" style="269" customWidth="1"/>
    <col min="9" max="9" width="13" style="269" customWidth="1"/>
    <col min="10" max="10" width="15.7109375" style="269" customWidth="1"/>
    <col min="11" max="16384" width="9.140625" style="268"/>
  </cols>
  <sheetData>
    <row r="1" spans="1:10" ht="15.75" x14ac:dyDescent="0.2">
      <c r="A1" s="1111" t="str">
        <f>Terrap.!A1</f>
        <v>ESTADO DE MATO GROSSO</v>
      </c>
      <c r="B1" s="1112"/>
      <c r="C1" s="1112"/>
      <c r="D1" s="1112"/>
      <c r="E1" s="1112"/>
      <c r="F1" s="1112"/>
      <c r="G1" s="1112"/>
      <c r="H1" s="1112"/>
      <c r="I1" s="1112"/>
      <c r="J1" s="1113"/>
    </row>
    <row r="2" spans="1:10" ht="15.75" x14ac:dyDescent="0.2">
      <c r="A2" s="1114" t="str">
        <f>Terrap.!A2</f>
        <v xml:space="preserve">PREFEITURA MUNICIPAL DE BARRA DO BUGRES </v>
      </c>
      <c r="B2" s="1115"/>
      <c r="C2" s="1115"/>
      <c r="D2" s="1115"/>
      <c r="E2" s="1115"/>
      <c r="F2" s="1115"/>
      <c r="G2" s="1115"/>
      <c r="H2" s="1115"/>
      <c r="I2" s="1115"/>
      <c r="J2" s="1116"/>
    </row>
    <row r="3" spans="1:10" ht="15" customHeight="1" x14ac:dyDescent="0.2">
      <c r="A3" s="405" t="s">
        <v>56</v>
      </c>
      <c r="B3" s="1222" t="str">
        <f>Terrap.!B3</f>
        <v xml:space="preserve">PAVIMENTAÇÃO ASFALTICA E DRENAGEM DE AGUAS PLUVIAIS </v>
      </c>
      <c r="C3" s="1222"/>
      <c r="D3" s="1222"/>
      <c r="E3" s="1222"/>
      <c r="F3" s="1222"/>
      <c r="G3" s="1222"/>
      <c r="H3" s="1222"/>
      <c r="I3" s="1222"/>
      <c r="J3" s="1223"/>
    </row>
    <row r="4" spans="1:10" ht="15" customHeight="1" x14ac:dyDescent="0.2">
      <c r="A4" s="405" t="s">
        <v>57</v>
      </c>
      <c r="B4" s="1222" t="str">
        <f>Terrap.!B4</f>
        <v>DIVERSAS RUAS - PERIMETRO URBANO</v>
      </c>
      <c r="C4" s="1222"/>
      <c r="D4" s="1222"/>
      <c r="E4" s="1222"/>
      <c r="F4" s="1222"/>
      <c r="G4" s="1222"/>
      <c r="H4" s="1222"/>
      <c r="I4" s="1224" t="str">
        <f>Terrap.!I3</f>
        <v>SINAPI - JULHO / 2020    DESONERADO                                                                                                                           SICRO 10/2019</v>
      </c>
      <c r="J4" s="1225"/>
    </row>
    <row r="5" spans="1:10" ht="15" customHeight="1" x14ac:dyDescent="0.2">
      <c r="A5" s="405" t="s">
        <v>58</v>
      </c>
      <c r="B5" s="1222" t="str">
        <f>Terrap.!B5</f>
        <v xml:space="preserve">PREFEITURA MUNICIPAL DE BARRA DO BUGRES </v>
      </c>
      <c r="C5" s="1222"/>
      <c r="D5" s="1222"/>
      <c r="E5" s="406" t="s">
        <v>362</v>
      </c>
      <c r="F5" s="1242" t="str">
        <f>Terrap.!F5</f>
        <v>AGOSTO 2020</v>
      </c>
      <c r="G5" s="1242"/>
      <c r="H5" s="1242"/>
      <c r="I5" s="1224"/>
      <c r="J5" s="1225"/>
    </row>
    <row r="6" spans="1:10" ht="15" customHeight="1" thickBot="1" x14ac:dyDescent="0.25">
      <c r="A6" s="407" t="s">
        <v>59</v>
      </c>
      <c r="B6" s="1243">
        <f>Pavim.!B6</f>
        <v>31131.72</v>
      </c>
      <c r="C6" s="1243"/>
      <c r="D6" s="1243"/>
      <c r="E6" s="408" t="s">
        <v>60</v>
      </c>
      <c r="F6" s="1244">
        <f>Terrap.!F6</f>
        <v>0.25640000000000002</v>
      </c>
      <c r="G6" s="1244"/>
      <c r="H6" s="408" t="s">
        <v>61</v>
      </c>
      <c r="I6" s="1226"/>
      <c r="J6" s="1227"/>
    </row>
    <row r="7" spans="1:10" ht="19.5" customHeight="1" thickBot="1" x14ac:dyDescent="0.25">
      <c r="A7" s="1237" t="s">
        <v>307</v>
      </c>
      <c r="B7" s="1238"/>
      <c r="C7" s="1238"/>
      <c r="D7" s="1238"/>
      <c r="E7" s="1238"/>
      <c r="F7" s="1238"/>
      <c r="G7" s="1238"/>
      <c r="H7" s="1238"/>
      <c r="I7" s="1238"/>
      <c r="J7" s="1239"/>
    </row>
    <row r="8" spans="1:10" ht="26.25" customHeight="1" x14ac:dyDescent="0.2">
      <c r="A8" s="1125" t="s">
        <v>62</v>
      </c>
      <c r="B8" s="1126" t="s">
        <v>63</v>
      </c>
      <c r="C8" s="1127" t="s">
        <v>66</v>
      </c>
      <c r="D8" s="1127" t="s">
        <v>334</v>
      </c>
      <c r="E8" s="1240" t="s">
        <v>683</v>
      </c>
      <c r="F8" s="1127" t="s">
        <v>308</v>
      </c>
      <c r="G8" s="1127" t="s">
        <v>684</v>
      </c>
      <c r="H8" s="1127" t="s">
        <v>304</v>
      </c>
      <c r="I8" s="1127" t="s">
        <v>305</v>
      </c>
      <c r="J8" s="1132" t="s">
        <v>306</v>
      </c>
    </row>
    <row r="9" spans="1:10" x14ac:dyDescent="0.2">
      <c r="A9" s="1217"/>
      <c r="B9" s="1218"/>
      <c r="C9" s="1219"/>
      <c r="D9" s="1219"/>
      <c r="E9" s="1241"/>
      <c r="F9" s="1219"/>
      <c r="G9" s="1219"/>
      <c r="H9" s="1219"/>
      <c r="I9" s="1219"/>
      <c r="J9" s="1221"/>
    </row>
    <row r="10" spans="1:10" x14ac:dyDescent="0.2">
      <c r="A10" s="1217" t="str">
        <f>Terrap.!A10</f>
        <v>TRECHO 03</v>
      </c>
      <c r="B10" s="1218"/>
      <c r="C10" s="1218"/>
      <c r="D10" s="1218"/>
      <c r="E10" s="1218"/>
      <c r="F10" s="1218"/>
      <c r="G10" s="1218"/>
      <c r="H10" s="1218"/>
      <c r="I10" s="1218"/>
      <c r="J10" s="1220"/>
    </row>
    <row r="11" spans="1:10" x14ac:dyDescent="0.2">
      <c r="A11" s="541">
        <f>Terrap.!A11</f>
        <v>1</v>
      </c>
      <c r="B11" s="542" t="str">
        <f>Terrap.!B11</f>
        <v>RUAS DAS MARGARIDAS</v>
      </c>
      <c r="C11" s="543">
        <f>Pavim.!J11</f>
        <v>3978.98</v>
      </c>
      <c r="D11" s="544">
        <v>1.3</v>
      </c>
      <c r="E11" s="544">
        <v>6</v>
      </c>
      <c r="F11" s="545">
        <f>C11*D11/1000</f>
        <v>5.17</v>
      </c>
      <c r="G11" s="545">
        <f>C11*E11/1000</f>
        <v>23.87</v>
      </c>
      <c r="H11" s="545">
        <f>SUM(F11:G11)</f>
        <v>29.04</v>
      </c>
      <c r="I11" s="545">
        <v>180</v>
      </c>
      <c r="J11" s="546">
        <f>H11*I11</f>
        <v>5227.2</v>
      </c>
    </row>
    <row r="12" spans="1:10" x14ac:dyDescent="0.2">
      <c r="A12" s="541">
        <f>Terrap.!A12</f>
        <v>2</v>
      </c>
      <c r="B12" s="542" t="str">
        <f>Terrap.!B12</f>
        <v>RUA DOS GIRASSÓIS</v>
      </c>
      <c r="C12" s="543">
        <f>Pavim.!J12</f>
        <v>3978.98</v>
      </c>
      <c r="D12" s="544">
        <f>$D$11</f>
        <v>1.3</v>
      </c>
      <c r="E12" s="544">
        <f>$E$11</f>
        <v>6</v>
      </c>
      <c r="F12" s="545">
        <f t="shared" ref="F12" si="0">C12*D12/1000</f>
        <v>5.17</v>
      </c>
      <c r="G12" s="545">
        <f t="shared" ref="G12" si="1">C12*E12/1000</f>
        <v>23.87</v>
      </c>
      <c r="H12" s="545">
        <f t="shared" ref="H12" si="2">SUM(F12:G12)</f>
        <v>29.04</v>
      </c>
      <c r="I12" s="545">
        <f>$I$11</f>
        <v>180</v>
      </c>
      <c r="J12" s="546">
        <f t="shared" ref="J12" si="3">H12*I12</f>
        <v>5227.2</v>
      </c>
    </row>
    <row r="13" spans="1:10" x14ac:dyDescent="0.2">
      <c r="A13" s="541">
        <f>Terrap.!A13</f>
        <v>3</v>
      </c>
      <c r="B13" s="542" t="str">
        <f>Terrap.!B13</f>
        <v>RUAS DAS CEREJEIRAS</v>
      </c>
      <c r="C13" s="543">
        <f>Pavim.!J13</f>
        <v>3917.72</v>
      </c>
      <c r="D13" s="544">
        <f>$D$11</f>
        <v>1.3</v>
      </c>
      <c r="E13" s="544">
        <f>$E$11</f>
        <v>6</v>
      </c>
      <c r="F13" s="545">
        <f t="shared" ref="F13" si="4">C13*D13/1000</f>
        <v>5.09</v>
      </c>
      <c r="G13" s="545">
        <f t="shared" ref="G13" si="5">C13*E13/1000</f>
        <v>23.51</v>
      </c>
      <c r="H13" s="545">
        <f t="shared" ref="H13" si="6">SUM(F13:G13)</f>
        <v>28.6</v>
      </c>
      <c r="I13" s="545">
        <f>$I$11</f>
        <v>180</v>
      </c>
      <c r="J13" s="546">
        <f t="shared" ref="J13" si="7">H13*I13</f>
        <v>5148</v>
      </c>
    </row>
    <row r="14" spans="1:10" x14ac:dyDescent="0.2">
      <c r="A14" s="541">
        <f>Terrap.!A14</f>
        <v>4</v>
      </c>
      <c r="B14" s="542" t="str">
        <f>Terrap.!B14</f>
        <v>RUA DAS JARACATIÁS</v>
      </c>
      <c r="C14" s="543">
        <f>Pavim.!J14</f>
        <v>4820.76</v>
      </c>
      <c r="D14" s="544">
        <f t="shared" ref="D14:D22" si="8">$D$11</f>
        <v>1.3</v>
      </c>
      <c r="E14" s="544">
        <f t="shared" ref="E14:E22" si="9">$E$11</f>
        <v>6</v>
      </c>
      <c r="F14" s="545">
        <f t="shared" ref="F14:F22" si="10">C14*D14/1000</f>
        <v>6.27</v>
      </c>
      <c r="G14" s="545">
        <f t="shared" ref="G14:G22" si="11">C14*E14/1000</f>
        <v>28.92</v>
      </c>
      <c r="H14" s="545">
        <f t="shared" ref="H14:H22" si="12">SUM(F14:G14)</f>
        <v>35.19</v>
      </c>
      <c r="I14" s="545">
        <f t="shared" ref="I14:I22" si="13">$I$11</f>
        <v>180</v>
      </c>
      <c r="J14" s="546">
        <f t="shared" ref="J14:J22" si="14">H14*I14</f>
        <v>6334.2</v>
      </c>
    </row>
    <row r="15" spans="1:10" x14ac:dyDescent="0.2">
      <c r="A15" s="541">
        <f>Terrap.!A15</f>
        <v>5</v>
      </c>
      <c r="B15" s="542" t="str">
        <f>Terrap.!B15</f>
        <v>AV CONSTITUINTE</v>
      </c>
      <c r="C15" s="543">
        <f>Pavim.!J15</f>
        <v>1712.83</v>
      </c>
      <c r="D15" s="544">
        <f t="shared" si="8"/>
        <v>1.3</v>
      </c>
      <c r="E15" s="544">
        <f t="shared" si="9"/>
        <v>6</v>
      </c>
      <c r="F15" s="545">
        <f t="shared" si="10"/>
        <v>2.23</v>
      </c>
      <c r="G15" s="545">
        <f t="shared" si="11"/>
        <v>10.28</v>
      </c>
      <c r="H15" s="545">
        <f t="shared" si="12"/>
        <v>12.51</v>
      </c>
      <c r="I15" s="545">
        <f t="shared" si="13"/>
        <v>180</v>
      </c>
      <c r="J15" s="546">
        <f t="shared" si="14"/>
        <v>2251.8000000000002</v>
      </c>
    </row>
    <row r="16" spans="1:10" x14ac:dyDescent="0.2">
      <c r="A16" s="541">
        <f>Terrap.!A16</f>
        <v>6</v>
      </c>
      <c r="B16" s="542" t="str">
        <f>Terrap.!B16</f>
        <v>RUA FLAMBOYANT</v>
      </c>
      <c r="C16" s="543">
        <f>Pavim.!J16</f>
        <v>1420.28</v>
      </c>
      <c r="D16" s="544">
        <f t="shared" si="8"/>
        <v>1.3</v>
      </c>
      <c r="E16" s="544">
        <f t="shared" si="9"/>
        <v>6</v>
      </c>
      <c r="F16" s="545">
        <f t="shared" si="10"/>
        <v>1.85</v>
      </c>
      <c r="G16" s="545">
        <f t="shared" si="11"/>
        <v>8.52</v>
      </c>
      <c r="H16" s="545">
        <f t="shared" si="12"/>
        <v>10.37</v>
      </c>
      <c r="I16" s="545">
        <f t="shared" si="13"/>
        <v>180</v>
      </c>
      <c r="J16" s="546">
        <f t="shared" si="14"/>
        <v>1866.6</v>
      </c>
    </row>
    <row r="17" spans="1:10" x14ac:dyDescent="0.2">
      <c r="A17" s="541">
        <f>Terrap.!A17</f>
        <v>7</v>
      </c>
      <c r="B17" s="542" t="str">
        <f>Terrap.!B17</f>
        <v>RUA CAMPOS ELISIOS</v>
      </c>
      <c r="C17" s="543">
        <f>Pavim.!J17</f>
        <v>1379.84</v>
      </c>
      <c r="D17" s="544">
        <f t="shared" si="8"/>
        <v>1.3</v>
      </c>
      <c r="E17" s="544">
        <f t="shared" si="9"/>
        <v>6</v>
      </c>
      <c r="F17" s="545">
        <f t="shared" si="10"/>
        <v>1.79</v>
      </c>
      <c r="G17" s="545">
        <f t="shared" si="11"/>
        <v>8.2799999999999994</v>
      </c>
      <c r="H17" s="545">
        <f t="shared" si="12"/>
        <v>10.07</v>
      </c>
      <c r="I17" s="545">
        <f t="shared" si="13"/>
        <v>180</v>
      </c>
      <c r="J17" s="546">
        <f t="shared" si="14"/>
        <v>1812.6</v>
      </c>
    </row>
    <row r="18" spans="1:10" x14ac:dyDescent="0.2">
      <c r="A18" s="541">
        <f>Terrap.!A18</f>
        <v>8</v>
      </c>
      <c r="B18" s="542" t="str">
        <f>Terrap.!B18</f>
        <v>RUA SAMAMBAIAS</v>
      </c>
      <c r="C18" s="543">
        <f>Pavim.!J18</f>
        <v>1404.8</v>
      </c>
      <c r="D18" s="544">
        <f t="shared" si="8"/>
        <v>1.3</v>
      </c>
      <c r="E18" s="544">
        <f t="shared" si="9"/>
        <v>6</v>
      </c>
      <c r="F18" s="545">
        <f t="shared" si="10"/>
        <v>1.83</v>
      </c>
      <c r="G18" s="545">
        <f t="shared" si="11"/>
        <v>8.43</v>
      </c>
      <c r="H18" s="545">
        <f t="shared" si="12"/>
        <v>10.26</v>
      </c>
      <c r="I18" s="545">
        <f t="shared" si="13"/>
        <v>180</v>
      </c>
      <c r="J18" s="546">
        <f t="shared" si="14"/>
        <v>1846.8</v>
      </c>
    </row>
    <row r="19" spans="1:10" x14ac:dyDescent="0.2">
      <c r="A19" s="541">
        <f>Terrap.!A19</f>
        <v>9</v>
      </c>
      <c r="B19" s="985" t="str">
        <f>Terrap.!B19</f>
        <v>RUA PARAÍSO</v>
      </c>
      <c r="C19" s="543">
        <f>Pavim.!J19</f>
        <v>2757.45</v>
      </c>
      <c r="D19" s="544">
        <f t="shared" si="8"/>
        <v>1.3</v>
      </c>
      <c r="E19" s="544">
        <f t="shared" si="9"/>
        <v>6</v>
      </c>
      <c r="F19" s="545">
        <f t="shared" si="10"/>
        <v>3.58</v>
      </c>
      <c r="G19" s="545">
        <f t="shared" si="11"/>
        <v>16.54</v>
      </c>
      <c r="H19" s="545">
        <f t="shared" si="12"/>
        <v>20.12</v>
      </c>
      <c r="I19" s="545">
        <f t="shared" si="13"/>
        <v>180</v>
      </c>
      <c r="J19" s="546">
        <f t="shared" si="14"/>
        <v>3621.6</v>
      </c>
    </row>
    <row r="20" spans="1:10" x14ac:dyDescent="0.2">
      <c r="A20" s="541">
        <f>Terrap.!A20</f>
        <v>10</v>
      </c>
      <c r="B20" s="985" t="str">
        <f>Terrap.!B20</f>
        <v>RUA IMPERIAL</v>
      </c>
      <c r="C20" s="543">
        <f>Pavim.!J20</f>
        <v>3243.85</v>
      </c>
      <c r="D20" s="544">
        <f t="shared" si="8"/>
        <v>1.3</v>
      </c>
      <c r="E20" s="544">
        <f t="shared" si="9"/>
        <v>6</v>
      </c>
      <c r="F20" s="545">
        <f t="shared" si="10"/>
        <v>4.22</v>
      </c>
      <c r="G20" s="545">
        <f t="shared" si="11"/>
        <v>19.46</v>
      </c>
      <c r="H20" s="545">
        <f t="shared" si="12"/>
        <v>23.68</v>
      </c>
      <c r="I20" s="545">
        <f t="shared" si="13"/>
        <v>180</v>
      </c>
      <c r="J20" s="546">
        <f t="shared" si="14"/>
        <v>4262.3999999999996</v>
      </c>
    </row>
    <row r="21" spans="1:10" x14ac:dyDescent="0.2">
      <c r="A21" s="541">
        <f>Terrap.!A21</f>
        <v>11</v>
      </c>
      <c r="B21" s="985" t="str">
        <f>Terrap.!B21</f>
        <v>RUA VIRTUDE</v>
      </c>
      <c r="C21" s="543">
        <f>Pavim.!J21</f>
        <v>1894.97</v>
      </c>
      <c r="D21" s="544">
        <f t="shared" si="8"/>
        <v>1.3</v>
      </c>
      <c r="E21" s="544">
        <f t="shared" si="9"/>
        <v>6</v>
      </c>
      <c r="F21" s="545">
        <f t="shared" si="10"/>
        <v>2.46</v>
      </c>
      <c r="G21" s="545">
        <f t="shared" si="11"/>
        <v>11.37</v>
      </c>
      <c r="H21" s="545">
        <f t="shared" si="12"/>
        <v>13.83</v>
      </c>
      <c r="I21" s="545">
        <f t="shared" si="13"/>
        <v>180</v>
      </c>
      <c r="J21" s="546">
        <f t="shared" si="14"/>
        <v>2489.4</v>
      </c>
    </row>
    <row r="22" spans="1:10" x14ac:dyDescent="0.2">
      <c r="A22" s="541">
        <f>Terrap.!A22</f>
        <v>12</v>
      </c>
      <c r="B22" s="542" t="str">
        <f>Terrap.!B22</f>
        <v>AV. PRESIDENTE TANCREDO NEVES</v>
      </c>
      <c r="C22" s="543">
        <f>Pavim.!J22</f>
        <v>621.26</v>
      </c>
      <c r="D22" s="544">
        <f t="shared" si="8"/>
        <v>1.3</v>
      </c>
      <c r="E22" s="544">
        <f t="shared" si="9"/>
        <v>6</v>
      </c>
      <c r="F22" s="545">
        <f t="shared" si="10"/>
        <v>0.81</v>
      </c>
      <c r="G22" s="545">
        <f t="shared" si="11"/>
        <v>3.73</v>
      </c>
      <c r="H22" s="545">
        <f t="shared" si="12"/>
        <v>4.54</v>
      </c>
      <c r="I22" s="545">
        <f t="shared" si="13"/>
        <v>180</v>
      </c>
      <c r="J22" s="546">
        <f t="shared" si="14"/>
        <v>817.2</v>
      </c>
    </row>
    <row r="23" spans="1:10" ht="13.5" thickBot="1" x14ac:dyDescent="0.25">
      <c r="A23" s="1123" t="s">
        <v>70</v>
      </c>
      <c r="B23" s="1124"/>
      <c r="C23" s="547">
        <f>SUM(C11:C22)</f>
        <v>31131.72</v>
      </c>
      <c r="D23" s="547"/>
      <c r="E23" s="547"/>
      <c r="F23" s="548">
        <f>SUM(F11:F22)</f>
        <v>40.47</v>
      </c>
      <c r="G23" s="548">
        <f>SUM(G11:G22)</f>
        <v>186.78</v>
      </c>
      <c r="H23" s="548">
        <f>SUM(H11:H22)</f>
        <v>227.25</v>
      </c>
      <c r="I23" s="549"/>
      <c r="J23" s="562">
        <f>SUM(J11:J22)</f>
        <v>40905</v>
      </c>
    </row>
    <row r="27" spans="1:10" x14ac:dyDescent="0.2">
      <c r="B27" s="291" t="str">
        <f>Terrap.!B26</f>
        <v>Robson Darcio Sousa</v>
      </c>
    </row>
    <row r="28" spans="1:10" x14ac:dyDescent="0.2">
      <c r="B28" s="292" t="str">
        <f>Terrap.!B27</f>
        <v>ENGº CIVIL</v>
      </c>
    </row>
    <row r="29" spans="1:10" x14ac:dyDescent="0.2">
      <c r="B29" s="292" t="str">
        <f>Terrap.!B28</f>
        <v>Crea: 120.263.916-0</v>
      </c>
    </row>
  </sheetData>
  <mergeCells count="22">
    <mergeCell ref="A1:J1"/>
    <mergeCell ref="A2:J2"/>
    <mergeCell ref="B3:J3"/>
    <mergeCell ref="B4:H4"/>
    <mergeCell ref="I4:J6"/>
    <mergeCell ref="B5:D5"/>
    <mergeCell ref="F5:H5"/>
    <mergeCell ref="B6:D6"/>
    <mergeCell ref="F6:G6"/>
    <mergeCell ref="A23:B23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J10"/>
    <mergeCell ref="J8:J9"/>
  </mergeCells>
  <pageMargins left="0.511811024" right="0.511811024" top="0.78740157499999996" bottom="0.78740157499999996" header="0.31496062000000002" footer="0.31496062000000002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28</vt:i4>
      </vt:variant>
      <vt:variant>
        <vt:lpstr>Intervalos nomeados</vt:lpstr>
      </vt:variant>
      <vt:variant>
        <vt:i4>36</vt:i4>
      </vt:variant>
    </vt:vector>
  </HeadingPairs>
  <TitlesOfParts>
    <vt:vector size="64" baseType="lpstr">
      <vt:lpstr>Ruas Ben</vt:lpstr>
      <vt:lpstr>M. Calc Dre</vt:lpstr>
      <vt:lpstr>Terrap.</vt:lpstr>
      <vt:lpstr>BASE E SUB</vt:lpstr>
      <vt:lpstr>Cub</vt:lpstr>
      <vt:lpstr>Pavim.</vt:lpstr>
      <vt:lpstr>Coord</vt:lpstr>
      <vt:lpstr>MAT. PETREO</vt:lpstr>
      <vt:lpstr>MAT BETUMINOSO</vt:lpstr>
      <vt:lpstr>MF e Sarj.</vt:lpstr>
      <vt:lpstr>CALÇADA</vt:lpstr>
      <vt:lpstr>PISO TATIL</vt:lpstr>
      <vt:lpstr>Sinal.</vt:lpstr>
      <vt:lpstr>Mem. Calc.</vt:lpstr>
      <vt:lpstr>Comp. TSD E CAPA</vt:lpstr>
      <vt:lpstr>Orçam.</vt:lpstr>
      <vt:lpstr>Resumo</vt:lpstr>
      <vt:lpstr>Orçam. (2)</vt:lpstr>
      <vt:lpstr>Crono Basico</vt:lpstr>
      <vt:lpstr>Crono Comp.</vt:lpstr>
      <vt:lpstr>BDI</vt:lpstr>
      <vt:lpstr>QCI</vt:lpstr>
      <vt:lpstr>COMPOSIÇÕES</vt:lpstr>
      <vt:lpstr>COMP PV</vt:lpstr>
      <vt:lpstr>CRON 2</vt:lpstr>
      <vt:lpstr>MOBILIZAÇÃO</vt:lpstr>
      <vt:lpstr>MOBILIZA</vt:lpstr>
      <vt:lpstr>ADM LOCAL</vt:lpstr>
      <vt:lpstr>'ADM LOCAL'!Area_de_impressao</vt:lpstr>
      <vt:lpstr>'BASE E SUB'!Area_de_impressao</vt:lpstr>
      <vt:lpstr>BDI!Area_de_impressao</vt:lpstr>
      <vt:lpstr>CALÇADA!Area_de_impressao</vt:lpstr>
      <vt:lpstr>'COMP PV'!Area_de_impressao</vt:lpstr>
      <vt:lpstr>COMPOSIÇÕES!Area_de_impressao</vt:lpstr>
      <vt:lpstr>Coord!Area_de_impressao</vt:lpstr>
      <vt:lpstr>'CRON 2'!Area_de_impressao</vt:lpstr>
      <vt:lpstr>'Crono Basico'!Area_de_impressao</vt:lpstr>
      <vt:lpstr>'Crono Comp.'!Area_de_impressao</vt:lpstr>
      <vt:lpstr>Cub!Area_de_impressao</vt:lpstr>
      <vt:lpstr>'M. Calc Dre'!Area_de_impressao</vt:lpstr>
      <vt:lpstr>'MAT BETUMINOSO'!Area_de_impressao</vt:lpstr>
      <vt:lpstr>'MAT. PETREO'!Area_de_impressao</vt:lpstr>
      <vt:lpstr>'Mem. Calc.'!Area_de_impressao</vt:lpstr>
      <vt:lpstr>'MF e Sarj.'!Area_de_impressao</vt:lpstr>
      <vt:lpstr>MOBILIZA!Area_de_impressao</vt:lpstr>
      <vt:lpstr>MOBILIZAÇÃO!Area_de_impressao</vt:lpstr>
      <vt:lpstr>Orçam.!Area_de_impressao</vt:lpstr>
      <vt:lpstr>'Orçam. (2)'!Area_de_impressao</vt:lpstr>
      <vt:lpstr>Pavim.!Area_de_impressao</vt:lpstr>
      <vt:lpstr>'PISO TATIL'!Area_de_impressao</vt:lpstr>
      <vt:lpstr>QCI!Area_de_impressao</vt:lpstr>
      <vt:lpstr>Resumo!Area_de_impressao</vt:lpstr>
      <vt:lpstr>'Ruas Ben'!Area_de_impressao</vt:lpstr>
      <vt:lpstr>Sinal.!Area_de_impressao</vt:lpstr>
      <vt:lpstr>Terrap.!Area_de_impressao</vt:lpstr>
      <vt:lpstr>COMPOSIÇÕES!Titulos_de_impressao</vt:lpstr>
      <vt:lpstr>'CRON 2'!Titulos_de_impressao</vt:lpstr>
      <vt:lpstr>'Crono Basico'!Titulos_de_impressao</vt:lpstr>
      <vt:lpstr>'Crono Comp.'!Titulos_de_impressao</vt:lpstr>
      <vt:lpstr>Cub!Titulos_de_impressao</vt:lpstr>
      <vt:lpstr>'M. Calc Dre'!Titulos_de_impressao</vt:lpstr>
      <vt:lpstr>'Mem. Calc.'!Titulos_de_impressao</vt:lpstr>
      <vt:lpstr>Orçam.!Titulos_de_impressao</vt:lpstr>
      <vt:lpstr>'Orçam. (2)'!Titulos_de_impressao</vt:lpstr>
    </vt:vector>
  </TitlesOfParts>
  <Company>PNUD/BRA/00/027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willamy.dias</dc:creator>
  <cp:lastModifiedBy>Anderson da Silva</cp:lastModifiedBy>
  <cp:lastPrinted>2020-04-14T23:57:51Z</cp:lastPrinted>
  <dcterms:created xsi:type="dcterms:W3CDTF">2005-05-25T12:35:26Z</dcterms:created>
  <dcterms:modified xsi:type="dcterms:W3CDTF">2020-09-03T18:37:59Z</dcterms:modified>
</cp:coreProperties>
</file>