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W:\Licitaçao 2020\TOMADA DE PREÇO 2020\Tomada 01_2020 asfalto\"/>
    </mc:Choice>
  </mc:AlternateContent>
  <xr:revisionPtr revIDLastSave="0" documentId="8_{3F906DDB-BB35-4844-B4CF-EFAC8D54EB25}" xr6:coauthVersionLast="45" xr6:coauthVersionMax="45" xr10:uidLastSave="{00000000-0000-0000-0000-000000000000}"/>
  <bookViews>
    <workbookView xWindow="-120" yWindow="-120" windowWidth="20730" windowHeight="11160" tabRatio="923" firstSheet="2" activeTab="16" xr2:uid="{00000000-000D-0000-FFFF-FFFF00000000}"/>
  </bookViews>
  <sheets>
    <sheet name="Ruas Ben" sheetId="12" state="hidden" r:id="rId1"/>
    <sheet name="M. Calc Dre" sheetId="11" state="hidden" r:id="rId2"/>
    <sheet name="Terrap." sheetId="7" r:id="rId3"/>
    <sheet name="Cub" sheetId="32" r:id="rId4"/>
    <sheet name="BASE E SUB" sheetId="33" r:id="rId5"/>
    <sheet name="Pavim." sheetId="8" r:id="rId6"/>
    <sheet name="Coord" sheetId="40" r:id="rId7"/>
    <sheet name="MAT. PETREO" sheetId="30" r:id="rId8"/>
    <sheet name="MAT BETUMINOSO" sheetId="31" r:id="rId9"/>
    <sheet name="MF e Sarj." sheetId="10" r:id="rId10"/>
    <sheet name="CALC PISO TATIL" sheetId="44" r:id="rId11"/>
    <sheet name="CALÇADA" sheetId="35" r:id="rId12"/>
    <sheet name="PISO TATIL" sheetId="37" r:id="rId13"/>
    <sheet name="Sinal." sheetId="14" r:id="rId14"/>
    <sheet name="Mem. Calc." sheetId="15" r:id="rId15"/>
    <sheet name="Comp. TSD E CAPA" sheetId="20" state="hidden" r:id="rId16"/>
    <sheet name="Orçam." sheetId="1" r:id="rId17"/>
    <sheet name="Resumo" sheetId="4" r:id="rId18"/>
    <sheet name="Orçam. (2)" sheetId="43" state="hidden" r:id="rId19"/>
    <sheet name="Crono Basico" sheetId="39" r:id="rId20"/>
    <sheet name="Crono Comp." sheetId="2" state="hidden" r:id="rId21"/>
    <sheet name="BDI" sheetId="19" r:id="rId22"/>
    <sheet name="QCI" sheetId="16" r:id="rId23"/>
    <sheet name="COMPOSIÇÕES" sheetId="34" r:id="rId24"/>
    <sheet name="ADM LOCAL" sheetId="41" r:id="rId25"/>
    <sheet name="COMP PV" sheetId="36" state="hidden" r:id="rId26"/>
    <sheet name="CRON 2" sheetId="28" state="hidden" r:id="rId27"/>
  </sheets>
  <definedNames>
    <definedName name="_xlnm.Print_Area" localSheetId="24">'ADM LOCAL'!$A$1:$G$25</definedName>
    <definedName name="_xlnm.Print_Area" localSheetId="4">'BASE E SUB'!$A$1:$P$22</definedName>
    <definedName name="_xlnm.Print_Area" localSheetId="21">BDI!$A$1:$G$32</definedName>
    <definedName name="_xlnm.Print_Area" localSheetId="10">'CALC PISO TATIL'!$A$1:$E$24</definedName>
    <definedName name="_xlnm.Print_Area" localSheetId="11">CALÇADA!$A$1:$L$24</definedName>
    <definedName name="_xlnm.Print_Area" localSheetId="25">'COMP PV'!$A$1:$G$31</definedName>
    <definedName name="_xlnm.Print_Area" localSheetId="23">COMPOSIÇÕES!$A$1:$F$101</definedName>
    <definedName name="_xlnm.Print_Area" localSheetId="6">Coord!$A$1:$H$22</definedName>
    <definedName name="_xlnm.Print_Area" localSheetId="26">'CRON 2'!$A$1:$P$50</definedName>
    <definedName name="_xlnm.Print_Area" localSheetId="19">'Crono Basico'!$A$1:$R$29</definedName>
    <definedName name="_xlnm.Print_Area" localSheetId="20">'Crono Comp.'!$A$1:$R$90</definedName>
    <definedName name="_xlnm.Print_Area" localSheetId="3">Cub!$A$1:$I$45</definedName>
    <definedName name="_xlnm.Print_Area" localSheetId="1">'M. Calc Dre'!$A$1:$L$101</definedName>
    <definedName name="_xlnm.Print_Area" localSheetId="8">'MAT BETUMINOSO'!$A$1:$J$23</definedName>
    <definedName name="_xlnm.Print_Area" localSheetId="7">'MAT. PETREO'!$A$1:$J$23</definedName>
    <definedName name="_xlnm.Print_Area" localSheetId="14">'Mem. Calc.'!$A$1:$E$45</definedName>
    <definedName name="_xlnm.Print_Area" localSheetId="9">'MF e Sarj.'!$A$1:$J$49</definedName>
    <definedName name="_xlnm.Print_Area" localSheetId="16">Orçam.!$A$1:$J$52</definedName>
    <definedName name="_xlnm.Print_Area" localSheetId="18">'Orçam. (2)'!$A$1:$AI$78</definedName>
    <definedName name="_xlnm.Print_Area" localSheetId="5">Pavim.!$A$1:$J$25</definedName>
    <definedName name="_xlnm.Print_Area" localSheetId="12">'PISO TATIL'!$A$1:$N$27</definedName>
    <definedName name="_xlnm.Print_Area" localSheetId="22">QCI!$A$1:$G$35</definedName>
    <definedName name="_xlnm.Print_Area" localSheetId="17">Resumo!$A$1:$F$33</definedName>
    <definedName name="_xlnm.Print_Area" localSheetId="0">'Ruas Ben'!$A$1:$Q$24</definedName>
    <definedName name="_xlnm.Print_Area" localSheetId="13">Sinal.!$A$1:$J$47</definedName>
    <definedName name="_xlnm.Print_Area" localSheetId="2">Terrap.!$A$1:$J$23</definedName>
    <definedName name="_xlnm.Print_Titles" localSheetId="23">COMPOSIÇÕES!$1:$7</definedName>
    <definedName name="_xlnm.Print_Titles" localSheetId="26">'CRON 2'!$A:$D,'CRON 2'!$1:$8</definedName>
    <definedName name="_xlnm.Print_Titles" localSheetId="19">'Crono Basico'!$A:$D,'Crono Basico'!$1:$10</definedName>
    <definedName name="_xlnm.Print_Titles" localSheetId="20">'Crono Comp.'!$1:$10</definedName>
    <definedName name="_xlnm.Print_Titles" localSheetId="3">Cub!$7:$9</definedName>
    <definedName name="_xlnm.Print_Titles" localSheetId="1">'M. Calc Dre'!$1:$8</definedName>
    <definedName name="_xlnm.Print_Titles" localSheetId="14">'Mem. Calc.'!$1:$8</definedName>
    <definedName name="_xlnm.Print_Titles" localSheetId="16">Orçam.!$1:$8</definedName>
    <definedName name="_xlnm.Print_Titles" localSheetId="18">'Orçam. (2)'!$1:$8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4" l="1"/>
  <c r="B22" i="16" s="1"/>
  <c r="A22" i="4"/>
  <c r="A22" i="16" s="1"/>
  <c r="P10" i="14" l="1"/>
  <c r="N11" i="14"/>
  <c r="O11" i="14"/>
  <c r="M11" i="14"/>
  <c r="P11" i="14" s="1"/>
  <c r="R9" i="14"/>
  <c r="F18" i="14"/>
  <c r="H13" i="35" l="1"/>
  <c r="H12" i="35" l="1"/>
  <c r="H11" i="35"/>
  <c r="J5" i="16" l="1"/>
  <c r="A18" i="16" l="1"/>
  <c r="A19" i="16"/>
  <c r="A20" i="16"/>
  <c r="A21" i="16"/>
  <c r="B21" i="4"/>
  <c r="B21" i="16" s="1"/>
  <c r="B20" i="4"/>
  <c r="B20" i="16" s="1"/>
  <c r="B19" i="4"/>
  <c r="B19" i="16" s="1"/>
  <c r="B18" i="4"/>
  <c r="B18" i="16" s="1"/>
  <c r="M14" i="14" l="1"/>
  <c r="P8" i="14"/>
  <c r="N14" i="14" s="1"/>
  <c r="O14" i="14" l="1"/>
  <c r="E11" i="31"/>
  <c r="E12" i="31" s="1"/>
  <c r="D11" i="31"/>
  <c r="D14" i="31" s="1"/>
  <c r="H40" i="34"/>
  <c r="D11" i="30" s="1"/>
  <c r="H39" i="34"/>
  <c r="E11" i="30" s="1"/>
  <c r="D13" i="31" l="1"/>
  <c r="D12" i="31"/>
  <c r="E14" i="31"/>
  <c r="E13" i="31"/>
  <c r="F50" i="34" l="1"/>
  <c r="F49" i="34"/>
  <c r="F48" i="34"/>
  <c r="F47" i="34"/>
  <c r="F46" i="34"/>
  <c r="F45" i="34"/>
  <c r="F44" i="34"/>
  <c r="F43" i="34"/>
  <c r="F42" i="34"/>
  <c r="F41" i="34"/>
  <c r="F40" i="34"/>
  <c r="F39" i="34"/>
  <c r="F38" i="34"/>
  <c r="F25" i="34"/>
  <c r="F26" i="34"/>
  <c r="F27" i="34"/>
  <c r="F28" i="34"/>
  <c r="F29" i="34"/>
  <c r="F30" i="34"/>
  <c r="F31" i="34"/>
  <c r="F52" i="34" l="1"/>
  <c r="G29" i="1" s="1"/>
  <c r="D14" i="41"/>
  <c r="D13" i="41"/>
  <c r="D12" i="41"/>
  <c r="B11" i="1" l="1"/>
  <c r="F12" i="34"/>
  <c r="F13" i="34"/>
  <c r="F14" i="34"/>
  <c r="F15" i="34"/>
  <c r="F16" i="34"/>
  <c r="F17" i="34"/>
  <c r="F11" i="34"/>
  <c r="G3" i="1"/>
  <c r="F19" i="34" l="1"/>
  <c r="G11" i="1" s="1"/>
  <c r="I13" i="10" l="1"/>
  <c r="I14" i="10"/>
  <c r="F13" i="10"/>
  <c r="F14" i="10"/>
  <c r="I36" i="10"/>
  <c r="I37" i="10"/>
  <c r="D15" i="10"/>
  <c r="C15" i="10"/>
  <c r="I10" i="41" l="1"/>
  <c r="E11" i="15"/>
  <c r="D88" i="34"/>
  <c r="F83" i="34"/>
  <c r="D12" i="44" l="1"/>
  <c r="C12" i="44"/>
  <c r="D13" i="44"/>
  <c r="E13" i="44" s="1"/>
  <c r="D13" i="37" s="1"/>
  <c r="C13" i="44"/>
  <c r="D14" i="44"/>
  <c r="C14" i="44"/>
  <c r="E14" i="44" s="1"/>
  <c r="D14" i="37" s="1"/>
  <c r="A10" i="44"/>
  <c r="B10" i="44"/>
  <c r="A3" i="44"/>
  <c r="A4" i="44"/>
  <c r="A5" i="44"/>
  <c r="A6" i="44"/>
  <c r="F96" i="34"/>
  <c r="E84" i="34" s="1"/>
  <c r="E12" i="44" l="1"/>
  <c r="D12" i="37" s="1"/>
  <c r="F12" i="37" s="1"/>
  <c r="D16" i="8"/>
  <c r="D15" i="8"/>
  <c r="D12" i="8"/>
  <c r="D11" i="8"/>
  <c r="E16" i="44" l="1"/>
  <c r="R20" i="39"/>
  <c r="R19" i="39"/>
  <c r="R18" i="39"/>
  <c r="R17" i="39"/>
  <c r="R14" i="39"/>
  <c r="R12" i="39"/>
  <c r="E35" i="10"/>
  <c r="E38" i="10"/>
  <c r="E39" i="10"/>
  <c r="E40" i="10"/>
  <c r="E34" i="10"/>
  <c r="D41" i="10"/>
  <c r="H15" i="8" l="1"/>
  <c r="H12" i="8"/>
  <c r="H15" i="7"/>
  <c r="I15" i="7" s="1"/>
  <c r="H12" i="7"/>
  <c r="I12" i="7" s="1"/>
  <c r="G12" i="8"/>
  <c r="G13" i="8"/>
  <c r="I13" i="8" s="1"/>
  <c r="G14" i="8"/>
  <c r="I14" i="8" s="1"/>
  <c r="G15" i="8"/>
  <c r="G16" i="8"/>
  <c r="I16" i="8" s="1"/>
  <c r="F12" i="8"/>
  <c r="F13" i="8"/>
  <c r="F14" i="8"/>
  <c r="F15" i="8"/>
  <c r="I13" i="7"/>
  <c r="I14" i="7"/>
  <c r="I15" i="8" l="1"/>
  <c r="I12" i="8"/>
  <c r="F14" i="41"/>
  <c r="F14" i="1"/>
  <c r="H14" i="1" s="1"/>
  <c r="G14" i="1" s="1"/>
  <c r="N12" i="33"/>
  <c r="N13" i="33" s="1"/>
  <c r="A22" i="15"/>
  <c r="B22" i="15"/>
  <c r="C22" i="15"/>
  <c r="C25" i="41"/>
  <c r="B34" i="16"/>
  <c r="B31" i="19"/>
  <c r="B26" i="39"/>
  <c r="B27" i="39"/>
  <c r="B25" i="39"/>
  <c r="B30" i="4"/>
  <c r="B32" i="4"/>
  <c r="B44" i="15"/>
  <c r="B47" i="14"/>
  <c r="C25" i="37"/>
  <c r="B23" i="35"/>
  <c r="B22" i="44" s="1"/>
  <c r="B49" i="10"/>
  <c r="G40" i="10"/>
  <c r="I40" i="10" s="1"/>
  <c r="J40" i="10" s="1"/>
  <c r="C15" i="35" s="1"/>
  <c r="F40" i="10"/>
  <c r="A40" i="10"/>
  <c r="B40" i="10"/>
  <c r="B22" i="31"/>
  <c r="B21" i="30"/>
  <c r="B20" i="40"/>
  <c r="B24" i="8"/>
  <c r="B21" i="33"/>
  <c r="E43" i="32"/>
  <c r="I20" i="32"/>
  <c r="B113" i="34"/>
  <c r="D12" i="33"/>
  <c r="D13" i="33" s="1"/>
  <c r="D14" i="33" s="1"/>
  <c r="E12" i="33"/>
  <c r="F15" i="41"/>
  <c r="F16" i="41"/>
  <c r="N14" i="33" l="1"/>
  <c r="B50" i="1" l="1"/>
  <c r="B51" i="1"/>
  <c r="P45" i="43" l="1"/>
  <c r="Z49" i="43"/>
  <c r="Z50" i="43" s="1"/>
  <c r="X49" i="43"/>
  <c r="X50" i="43" s="1"/>
  <c r="V49" i="43"/>
  <c r="V50" i="43" s="1"/>
  <c r="T49" i="43"/>
  <c r="T50" i="43" s="1"/>
  <c r="R50" i="43"/>
  <c r="R51" i="43" s="1"/>
  <c r="R52" i="43" s="1"/>
  <c r="R49" i="43"/>
  <c r="AD64" i="43"/>
  <c r="AD65" i="43" s="1"/>
  <c r="AB64" i="43"/>
  <c r="AB65" i="43" s="1"/>
  <c r="Z64" i="43"/>
  <c r="Z65" i="43" s="1"/>
  <c r="V64" i="43"/>
  <c r="V65" i="43" s="1"/>
  <c r="AF71" i="43"/>
  <c r="AF72" i="43" s="1"/>
  <c r="AF70" i="43"/>
  <c r="AD70" i="43"/>
  <c r="AD71" i="43" s="1"/>
  <c r="AH69" i="43"/>
  <c r="AG66" i="43"/>
  <c r="Y66" i="43"/>
  <c r="U66" i="43"/>
  <c r="S66" i="43"/>
  <c r="Q66" i="43"/>
  <c r="O66" i="43"/>
  <c r="M66" i="43"/>
  <c r="K66" i="43"/>
  <c r="AG65" i="43"/>
  <c r="Y65" i="43"/>
  <c r="U65" i="43"/>
  <c r="S65" i="43"/>
  <c r="Q65" i="43"/>
  <c r="O65" i="43"/>
  <c r="M65" i="43"/>
  <c r="K65" i="43"/>
  <c r="AH63" i="43"/>
  <c r="AG55" i="43"/>
  <c r="AE55" i="43"/>
  <c r="AC55" i="43"/>
  <c r="Q55" i="43"/>
  <c r="O55" i="43"/>
  <c r="M55" i="43"/>
  <c r="K55" i="43"/>
  <c r="AG54" i="43"/>
  <c r="AE54" i="43"/>
  <c r="AC54" i="43"/>
  <c r="Q54" i="43"/>
  <c r="O54" i="43"/>
  <c r="M54" i="43"/>
  <c r="K54" i="43"/>
  <c r="AG53" i="43"/>
  <c r="AE53" i="43"/>
  <c r="AC53" i="43"/>
  <c r="Q53" i="43"/>
  <c r="O53" i="43"/>
  <c r="M53" i="43"/>
  <c r="K53" i="43"/>
  <c r="AG50" i="43"/>
  <c r="AE50" i="43"/>
  <c r="AC50" i="43"/>
  <c r="S50" i="43"/>
  <c r="Q50" i="43"/>
  <c r="O50" i="43"/>
  <c r="M50" i="43"/>
  <c r="K50" i="43"/>
  <c r="AH49" i="43"/>
  <c r="AH48" i="43"/>
  <c r="AH45" i="43"/>
  <c r="AH44" i="43"/>
  <c r="AH40" i="43"/>
  <c r="AH37" i="43"/>
  <c r="AH36" i="43"/>
  <c r="AH35" i="43"/>
  <c r="AH34" i="43"/>
  <c r="AH33" i="43"/>
  <c r="AH32" i="43"/>
  <c r="AH29" i="43"/>
  <c r="AH28" i="43"/>
  <c r="AH27" i="43"/>
  <c r="AH24" i="43"/>
  <c r="AH23" i="43"/>
  <c r="AH22" i="43"/>
  <c r="AH21" i="43"/>
  <c r="AH20" i="43"/>
  <c r="AH19" i="43"/>
  <c r="AH15" i="43"/>
  <c r="AG15" i="43"/>
  <c r="AE15" i="43"/>
  <c r="AC15" i="43"/>
  <c r="AA15" i="43"/>
  <c r="Y15" i="43"/>
  <c r="W15" i="43"/>
  <c r="U15" i="43"/>
  <c r="S15" i="43"/>
  <c r="Q15" i="43"/>
  <c r="O15" i="43"/>
  <c r="M15" i="43"/>
  <c r="K15" i="43"/>
  <c r="AH12" i="43"/>
  <c r="AH11" i="43"/>
  <c r="AH10" i="43"/>
  <c r="L85" i="43"/>
  <c r="B78" i="43"/>
  <c r="B77" i="43"/>
  <c r="H74" i="43"/>
  <c r="E73" i="43"/>
  <c r="D73" i="43"/>
  <c r="B73" i="43"/>
  <c r="E70" i="43"/>
  <c r="D70" i="43"/>
  <c r="B70" i="43"/>
  <c r="E69" i="43"/>
  <c r="D69" i="43"/>
  <c r="B69" i="43"/>
  <c r="H67" i="43"/>
  <c r="G66" i="43"/>
  <c r="G65" i="43"/>
  <c r="H61" i="43"/>
  <c r="E58" i="43"/>
  <c r="D58" i="43"/>
  <c r="B58" i="43"/>
  <c r="E57" i="43"/>
  <c r="D57" i="43"/>
  <c r="B57" i="43"/>
  <c r="E56" i="43"/>
  <c r="D56" i="43"/>
  <c r="B56" i="43"/>
  <c r="G55" i="43"/>
  <c r="G54" i="43"/>
  <c r="G53" i="43"/>
  <c r="G50" i="43"/>
  <c r="H46" i="43"/>
  <c r="H41" i="43"/>
  <c r="H38" i="43"/>
  <c r="H30" i="43"/>
  <c r="H25" i="43"/>
  <c r="H16" i="43"/>
  <c r="G15" i="43"/>
  <c r="D15" i="43"/>
  <c r="H13" i="43"/>
  <c r="H75" i="43" s="1"/>
  <c r="F10" i="43"/>
  <c r="G10" i="43" s="1"/>
  <c r="A6" i="43"/>
  <c r="A5" i="43"/>
  <c r="B4" i="43"/>
  <c r="A4" i="43"/>
  <c r="B3" i="43"/>
  <c r="A3" i="43"/>
  <c r="D2" i="43"/>
  <c r="D1" i="43"/>
  <c r="A1" i="43"/>
  <c r="AD66" i="43" l="1"/>
  <c r="AE66" i="43" s="1"/>
  <c r="AE65" i="43"/>
  <c r="AH65" i="43"/>
  <c r="V51" i="43"/>
  <c r="W50" i="43"/>
  <c r="V66" i="43"/>
  <c r="W66" i="43" s="1"/>
  <c r="W65" i="43"/>
  <c r="X51" i="43"/>
  <c r="Y50" i="43"/>
  <c r="AH71" i="43"/>
  <c r="AD72" i="43"/>
  <c r="AD73" i="43" s="1"/>
  <c r="Z66" i="43"/>
  <c r="AA66" i="43" s="1"/>
  <c r="AA65" i="43"/>
  <c r="Z51" i="43"/>
  <c r="AH50" i="43"/>
  <c r="AA50" i="43"/>
  <c r="AB66" i="43"/>
  <c r="AC66" i="43" s="1"/>
  <c r="AC65" i="43"/>
  <c r="T51" i="43"/>
  <c r="T52" i="43" s="1"/>
  <c r="U50" i="43"/>
  <c r="AH70" i="43"/>
  <c r="Y10" i="43"/>
  <c r="AA10" i="43"/>
  <c r="AC10" i="43"/>
  <c r="O10" i="43"/>
  <c r="AE10" i="43"/>
  <c r="Q10" i="43"/>
  <c r="AG10" i="43"/>
  <c r="S10" i="43"/>
  <c r="U10" i="43"/>
  <c r="W10" i="43"/>
  <c r="Z52" i="43"/>
  <c r="X52" i="43"/>
  <c r="V52" i="43"/>
  <c r="T53" i="43"/>
  <c r="R53" i="43"/>
  <c r="AI50" i="43"/>
  <c r="AH64" i="43"/>
  <c r="AH66" i="43"/>
  <c r="AI65" i="43"/>
  <c r="AI66" i="43"/>
  <c r="AH72" i="43"/>
  <c r="AF73" i="43"/>
  <c r="AH73" i="43" s="1"/>
  <c r="AI15" i="43"/>
  <c r="K10" i="43"/>
  <c r="M10" i="43"/>
  <c r="I43" i="43"/>
  <c r="I18" i="43"/>
  <c r="I15" i="43"/>
  <c r="I10" i="43"/>
  <c r="L86" i="43"/>
  <c r="AH51" i="43" l="1"/>
  <c r="AI10" i="43"/>
  <c r="Z53" i="43"/>
  <c r="X53" i="43"/>
  <c r="AH52" i="43"/>
  <c r="V53" i="43"/>
  <c r="T54" i="43"/>
  <c r="U53" i="43"/>
  <c r="S53" i="43"/>
  <c r="R54" i="43"/>
  <c r="I75" i="43"/>
  <c r="Z54" i="43" l="1"/>
  <c r="AA53" i="43"/>
  <c r="AH53" i="43"/>
  <c r="X54" i="43"/>
  <c r="Y53" i="43"/>
  <c r="V54" i="43"/>
  <c r="W53" i="43"/>
  <c r="T55" i="43"/>
  <c r="U54" i="43"/>
  <c r="R55" i="43"/>
  <c r="S54" i="43"/>
  <c r="AH54" i="43" l="1"/>
  <c r="AI53" i="43"/>
  <c r="AA54" i="43"/>
  <c r="Z55" i="43"/>
  <c r="X55" i="43"/>
  <c r="Y54" i="43"/>
  <c r="W54" i="43"/>
  <c r="V55" i="43"/>
  <c r="T56" i="43"/>
  <c r="U55" i="43"/>
  <c r="R56" i="43"/>
  <c r="S55" i="43"/>
  <c r="AI54" i="43" l="1"/>
  <c r="AA55" i="43"/>
  <c r="Z56" i="43"/>
  <c r="Y55" i="43"/>
  <c r="X56" i="43"/>
  <c r="W55" i="43"/>
  <c r="V56" i="43"/>
  <c r="AH55" i="43"/>
  <c r="T57" i="43"/>
  <c r="R57" i="43"/>
  <c r="AI55" i="43" l="1"/>
  <c r="Z57" i="43"/>
  <c r="AH56" i="43"/>
  <c r="X57" i="43"/>
  <c r="V57" i="43"/>
  <c r="T58" i="43"/>
  <c r="R58" i="43"/>
  <c r="AH57" i="43" l="1"/>
  <c r="Z58" i="43"/>
  <c r="X58" i="43"/>
  <c r="V58" i="43"/>
  <c r="T59" i="43"/>
  <c r="R59" i="43"/>
  <c r="F20" i="14"/>
  <c r="I38" i="14"/>
  <c r="I40" i="14" l="1"/>
  <c r="AH58" i="43"/>
  <c r="Z59" i="43"/>
  <c r="AH59" i="43" s="1"/>
  <c r="X59" i="43"/>
  <c r="V59" i="43"/>
  <c r="T60" i="43"/>
  <c r="R60" i="43"/>
  <c r="D13" i="14"/>
  <c r="A38" i="15"/>
  <c r="A39" i="15"/>
  <c r="A34" i="15"/>
  <c r="A37" i="15"/>
  <c r="A36" i="15"/>
  <c r="E36" i="15"/>
  <c r="E42" i="1"/>
  <c r="C37" i="15" s="1"/>
  <c r="B37" i="15"/>
  <c r="B42" i="1"/>
  <c r="F76" i="34"/>
  <c r="F77" i="34" s="1"/>
  <c r="F72" i="34"/>
  <c r="F71" i="34"/>
  <c r="F41" i="1" l="1"/>
  <c r="F69" i="43"/>
  <c r="Z60" i="43"/>
  <c r="X60" i="43"/>
  <c r="V60" i="43"/>
  <c r="F74" i="34"/>
  <c r="F78" i="34" s="1"/>
  <c r="G42" i="1" s="1"/>
  <c r="G69" i="43" l="1"/>
  <c r="AC69" i="43"/>
  <c r="M69" i="43"/>
  <c r="AA69" i="43"/>
  <c r="K69" i="43"/>
  <c r="U69" i="43"/>
  <c r="O69" i="43"/>
  <c r="Y69" i="43"/>
  <c r="W69" i="43"/>
  <c r="S69" i="43"/>
  <c r="AG69" i="43"/>
  <c r="Q69" i="43"/>
  <c r="AE69" i="43"/>
  <c r="AH60" i="43"/>
  <c r="E33" i="10"/>
  <c r="E32" i="10"/>
  <c r="E31" i="10"/>
  <c r="E30" i="10"/>
  <c r="E28" i="10"/>
  <c r="E27" i="10"/>
  <c r="E26" i="10"/>
  <c r="E25" i="10"/>
  <c r="C41" i="10"/>
  <c r="C31" i="15"/>
  <c r="B31" i="15"/>
  <c r="A31" i="15"/>
  <c r="AI69" i="43" l="1"/>
  <c r="E41" i="10"/>
  <c r="E38" i="1"/>
  <c r="B38" i="1"/>
  <c r="E41" i="1"/>
  <c r="B41" i="1"/>
  <c r="E29" i="1"/>
  <c r="E28" i="1"/>
  <c r="B29" i="1"/>
  <c r="B28" i="1"/>
  <c r="F63" i="34"/>
  <c r="F64" i="34"/>
  <c r="F62" i="34"/>
  <c r="F59" i="34"/>
  <c r="F58" i="34"/>
  <c r="F57" i="34"/>
  <c r="F60" i="34" l="1"/>
  <c r="F65" i="34"/>
  <c r="F66" i="34" l="1"/>
  <c r="G41" i="1" s="1"/>
  <c r="F88" i="34"/>
  <c r="F87" i="34"/>
  <c r="F84" i="34"/>
  <c r="F89" i="34" l="1"/>
  <c r="G38" i="1" s="1"/>
  <c r="E13" i="33" l="1"/>
  <c r="E14" i="33" s="1"/>
  <c r="C19" i="12"/>
  <c r="F19" i="12"/>
  <c r="E19" i="12"/>
  <c r="C16" i="10" l="1"/>
  <c r="D16" i="10" s="1"/>
  <c r="E16" i="7"/>
  <c r="E15" i="7"/>
  <c r="F11" i="41" l="1"/>
  <c r="F12" i="41"/>
  <c r="F42" i="11" l="1"/>
  <c r="F41" i="11"/>
  <c r="F40" i="11"/>
  <c r="F39" i="11"/>
  <c r="F38" i="11"/>
  <c r="F13" i="41" l="1"/>
  <c r="F17" i="41" s="1"/>
  <c r="C24" i="41" l="1"/>
  <c r="C23" i="41"/>
  <c r="D5" i="41"/>
  <c r="E5" i="41"/>
  <c r="B4" i="41"/>
  <c r="B3" i="41"/>
  <c r="A2" i="41"/>
  <c r="A1" i="41"/>
  <c r="D21" i="32" l="1"/>
  <c r="B19" i="40" l="1"/>
  <c r="B18" i="40"/>
  <c r="B14" i="40"/>
  <c r="B13" i="40"/>
  <c r="B12" i="40"/>
  <c r="B11" i="40"/>
  <c r="A10" i="40"/>
  <c r="F5" i="40"/>
  <c r="B4" i="40"/>
  <c r="H3" i="40"/>
  <c r="B3" i="40"/>
  <c r="A2" i="40"/>
  <c r="A1" i="40"/>
  <c r="F12" i="43"/>
  <c r="G12" i="43" l="1"/>
  <c r="AE12" i="43"/>
  <c r="S12" i="43"/>
  <c r="AG12" i="43"/>
  <c r="AA12" i="43"/>
  <c r="Y12" i="43"/>
  <c r="U12" i="43"/>
  <c r="M12" i="43"/>
  <c r="O12" i="43"/>
  <c r="AC12" i="43"/>
  <c r="Q12" i="43"/>
  <c r="W12" i="43"/>
  <c r="K12" i="43"/>
  <c r="AI12" i="43" l="1"/>
  <c r="B30" i="10"/>
  <c r="C51" i="11" l="1"/>
  <c r="B51" i="11"/>
  <c r="G84" i="11"/>
  <c r="F84" i="11"/>
  <c r="E84" i="11"/>
  <c r="C84" i="11"/>
  <c r="B84" i="11"/>
  <c r="E17" i="11"/>
  <c r="E31" i="11" s="1"/>
  <c r="C67" i="11"/>
  <c r="B67" i="11"/>
  <c r="F32" i="11"/>
  <c r="F33" i="11"/>
  <c r="F34" i="11"/>
  <c r="F35" i="11"/>
  <c r="F36" i="11"/>
  <c r="F31" i="11"/>
  <c r="G36" i="11"/>
  <c r="G31" i="11"/>
  <c r="C31" i="11"/>
  <c r="B31" i="11"/>
  <c r="G17" i="11"/>
  <c r="G51" i="11" s="1"/>
  <c r="E51" i="11" l="1"/>
  <c r="F33" i="10"/>
  <c r="F32" i="10"/>
  <c r="F31" i="10"/>
  <c r="F30" i="10"/>
  <c r="B33" i="10"/>
  <c r="B32" i="10"/>
  <c r="B31" i="10"/>
  <c r="A10" i="33"/>
  <c r="G30" i="10" l="1"/>
  <c r="I30" i="10" s="1"/>
  <c r="J30" i="10" s="1"/>
  <c r="G32" i="10"/>
  <c r="I32" i="10" s="1"/>
  <c r="J32" i="10" s="1"/>
  <c r="G31" i="10"/>
  <c r="I31" i="10" s="1"/>
  <c r="J31" i="10" s="1"/>
  <c r="G33" i="10"/>
  <c r="I33" i="10" s="1"/>
  <c r="J33" i="10" s="1"/>
  <c r="E94" i="11"/>
  <c r="E95" i="11" s="1"/>
  <c r="E96" i="11" s="1"/>
  <c r="E97" i="11" s="1"/>
  <c r="E98" i="11" s="1"/>
  <c r="C89" i="11"/>
  <c r="B89" i="11"/>
  <c r="G88" i="11"/>
  <c r="F88" i="11"/>
  <c r="E88" i="11"/>
  <c r="C88" i="11"/>
  <c r="B88" i="11"/>
  <c r="G87" i="11"/>
  <c r="F87" i="11"/>
  <c r="E87" i="11"/>
  <c r="C87" i="11"/>
  <c r="B87" i="11"/>
  <c r="G86" i="11"/>
  <c r="F86" i="11"/>
  <c r="E86" i="11"/>
  <c r="C86" i="11"/>
  <c r="B86" i="11"/>
  <c r="G85" i="11"/>
  <c r="F85" i="11"/>
  <c r="E85" i="11"/>
  <c r="C85" i="11"/>
  <c r="B85" i="11"/>
  <c r="G83" i="11"/>
  <c r="E83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2" i="11"/>
  <c r="B72" i="11"/>
  <c r="C71" i="11"/>
  <c r="B71" i="11"/>
  <c r="C70" i="11"/>
  <c r="B70" i="11"/>
  <c r="C69" i="11"/>
  <c r="B69" i="11"/>
  <c r="C68" i="11"/>
  <c r="B68" i="11"/>
  <c r="F66" i="11"/>
  <c r="F83" i="11" s="1"/>
  <c r="C66" i="11"/>
  <c r="B66" i="11"/>
  <c r="I65" i="11"/>
  <c r="C65" i="11"/>
  <c r="B65" i="11"/>
  <c r="I64" i="11"/>
  <c r="C64" i="11"/>
  <c r="B64" i="11"/>
  <c r="I63" i="11"/>
  <c r="C63" i="11"/>
  <c r="B63" i="11"/>
  <c r="I62" i="11"/>
  <c r="C62" i="11"/>
  <c r="B62" i="11"/>
  <c r="I61" i="11"/>
  <c r="C61" i="11"/>
  <c r="B61" i="11"/>
  <c r="I60" i="11"/>
  <c r="C60" i="11"/>
  <c r="B60" i="11"/>
  <c r="G56" i="11"/>
  <c r="E56" i="11"/>
  <c r="C56" i="11"/>
  <c r="B56" i="11"/>
  <c r="C55" i="11"/>
  <c r="B55" i="11"/>
  <c r="C54" i="11"/>
  <c r="B54" i="11"/>
  <c r="C53" i="11"/>
  <c r="B53" i="11"/>
  <c r="C52" i="11"/>
  <c r="B52" i="11"/>
  <c r="G50" i="11"/>
  <c r="E50" i="11"/>
  <c r="C50" i="11"/>
  <c r="B50" i="11"/>
  <c r="E49" i="11"/>
  <c r="C49" i="11"/>
  <c r="B49" i="11"/>
  <c r="E48" i="11"/>
  <c r="C48" i="11"/>
  <c r="B48" i="11"/>
  <c r="E47" i="11"/>
  <c r="C47" i="11"/>
  <c r="B47" i="11"/>
  <c r="E46" i="11"/>
  <c r="C46" i="11"/>
  <c r="B46" i="11"/>
  <c r="E45" i="11"/>
  <c r="C45" i="11"/>
  <c r="B45" i="11"/>
  <c r="E44" i="11"/>
  <c r="C44" i="11"/>
  <c r="B44" i="11"/>
  <c r="J39" i="11"/>
  <c r="J40" i="11" s="1"/>
  <c r="J41" i="11" s="1"/>
  <c r="J42" i="11" s="1"/>
  <c r="E36" i="11"/>
  <c r="C36" i="11"/>
  <c r="B36" i="11"/>
  <c r="C35" i="11"/>
  <c r="B35" i="11"/>
  <c r="C34" i="11"/>
  <c r="B34" i="11"/>
  <c r="C33" i="11"/>
  <c r="B33" i="11"/>
  <c r="C32" i="11"/>
  <c r="B32" i="11"/>
  <c r="F30" i="11"/>
  <c r="E30" i="11"/>
  <c r="C30" i="11"/>
  <c r="B30" i="11"/>
  <c r="F29" i="11"/>
  <c r="E29" i="11"/>
  <c r="C29" i="11"/>
  <c r="B29" i="11"/>
  <c r="F28" i="11"/>
  <c r="E28" i="11"/>
  <c r="C28" i="11"/>
  <c r="B28" i="11"/>
  <c r="F27" i="11"/>
  <c r="E27" i="11"/>
  <c r="C27" i="11"/>
  <c r="B27" i="11"/>
  <c r="F26" i="11"/>
  <c r="E26" i="11"/>
  <c r="C26" i="11"/>
  <c r="B26" i="11"/>
  <c r="F25" i="11"/>
  <c r="E25" i="11"/>
  <c r="C25" i="11"/>
  <c r="B25" i="11"/>
  <c r="F24" i="11"/>
  <c r="E24" i="11"/>
  <c r="C24" i="11"/>
  <c r="B24" i="11"/>
  <c r="G21" i="11"/>
  <c r="G35" i="11" s="1"/>
  <c r="E21" i="11"/>
  <c r="E55" i="11" s="1"/>
  <c r="G20" i="11"/>
  <c r="G34" i="11" s="1"/>
  <c r="E20" i="11"/>
  <c r="E34" i="11" s="1"/>
  <c r="G19" i="11"/>
  <c r="E19" i="11"/>
  <c r="E53" i="11" s="1"/>
  <c r="G18" i="11"/>
  <c r="E18" i="11"/>
  <c r="G52" i="11" l="1"/>
  <c r="G32" i="11"/>
  <c r="G53" i="11"/>
  <c r="G33" i="11"/>
  <c r="E54" i="11"/>
  <c r="E35" i="11"/>
  <c r="E52" i="11"/>
  <c r="E32" i="11"/>
  <c r="G55" i="11"/>
  <c r="G54" i="11"/>
  <c r="E33" i="11"/>
  <c r="F24" i="34" l="1"/>
  <c r="F33" i="34" s="1"/>
  <c r="G28" i="1" s="1"/>
  <c r="C32" i="15"/>
  <c r="B32" i="15"/>
  <c r="A32" i="15"/>
  <c r="M12" i="37"/>
  <c r="M13" i="37" s="1"/>
  <c r="M14" i="37" s="1"/>
  <c r="M15" i="37" s="1"/>
  <c r="E13" i="37"/>
  <c r="K12" i="37"/>
  <c r="K12" i="35"/>
  <c r="K13" i="35" s="1"/>
  <c r="K14" i="35" s="1"/>
  <c r="A10" i="8"/>
  <c r="L12" i="37" l="1"/>
  <c r="N12" i="37" s="1"/>
  <c r="E14" i="37"/>
  <c r="F13" i="37"/>
  <c r="F11" i="43"/>
  <c r="E15" i="37" l="1"/>
  <c r="F14" i="37"/>
  <c r="G11" i="43"/>
  <c r="AC11" i="43"/>
  <c r="O11" i="43"/>
  <c r="S11" i="43"/>
  <c r="AE11" i="43"/>
  <c r="W11" i="43"/>
  <c r="K11" i="43"/>
  <c r="AA11" i="43"/>
  <c r="Q11" i="43"/>
  <c r="U11" i="43"/>
  <c r="M11" i="43"/>
  <c r="AG11" i="43"/>
  <c r="Y11" i="43"/>
  <c r="A1" i="32"/>
  <c r="A2" i="34"/>
  <c r="B4" i="16"/>
  <c r="A6" i="16"/>
  <c r="A5" i="16"/>
  <c r="E4" i="16"/>
  <c r="D4" i="16"/>
  <c r="A4" i="16"/>
  <c r="G3" i="16"/>
  <c r="E3" i="16"/>
  <c r="B3" i="16"/>
  <c r="A3" i="16"/>
  <c r="A2" i="16"/>
  <c r="A1" i="16"/>
  <c r="A2" i="19"/>
  <c r="A2" i="39"/>
  <c r="A23" i="4"/>
  <c r="A17" i="4"/>
  <c r="A16" i="4"/>
  <c r="A15" i="4"/>
  <c r="A14" i="4"/>
  <c r="A2" i="4"/>
  <c r="A2" i="1"/>
  <c r="A2" i="15"/>
  <c r="A2" i="14"/>
  <c r="A2" i="37"/>
  <c r="A2" i="35"/>
  <c r="A2" i="44" s="1"/>
  <c r="A2" i="31"/>
  <c r="A2" i="30"/>
  <c r="A2" i="8"/>
  <c r="A4" i="1"/>
  <c r="A5" i="1"/>
  <c r="A6" i="1"/>
  <c r="A3" i="1"/>
  <c r="AI11" i="43" l="1"/>
  <c r="I15" i="37"/>
  <c r="I17" i="32"/>
  <c r="A17" i="32"/>
  <c r="A15" i="32"/>
  <c r="A10" i="35" l="1"/>
  <c r="B11" i="37" s="1"/>
  <c r="A10" i="10"/>
  <c r="A24" i="10" s="1"/>
  <c r="A10" i="31"/>
  <c r="A10" i="30"/>
  <c r="C15" i="37"/>
  <c r="C14" i="37"/>
  <c r="F16" i="8"/>
  <c r="C16" i="8"/>
  <c r="B16" i="8"/>
  <c r="B16" i="10" s="1"/>
  <c r="G11" i="8"/>
  <c r="F11" i="8"/>
  <c r="G14" i="35"/>
  <c r="F14" i="35"/>
  <c r="B14" i="35"/>
  <c r="G39" i="10"/>
  <c r="I39" i="10" s="1"/>
  <c r="J39" i="10" s="1"/>
  <c r="F16" i="10"/>
  <c r="B14" i="31"/>
  <c r="B14" i="30"/>
  <c r="B14" i="33"/>
  <c r="I16" i="7"/>
  <c r="F15" i="19"/>
  <c r="F17" i="19" s="1"/>
  <c r="J6" i="1" s="1"/>
  <c r="H38" i="1" s="1"/>
  <c r="G13" i="35"/>
  <c r="F13" i="35"/>
  <c r="B13" i="35"/>
  <c r="E15" i="10"/>
  <c r="L37" i="14" s="1"/>
  <c r="I38" i="10"/>
  <c r="J38" i="10" s="1"/>
  <c r="F15" i="10"/>
  <c r="B13" i="31"/>
  <c r="B13" i="30"/>
  <c r="C15" i="8"/>
  <c r="B15" i="8"/>
  <c r="B15" i="10" s="1"/>
  <c r="B14" i="44" s="1"/>
  <c r="M37" i="14" l="1"/>
  <c r="C13" i="35"/>
  <c r="H23" i="1"/>
  <c r="H19" i="1"/>
  <c r="H18" i="1"/>
  <c r="H10" i="1"/>
  <c r="H34" i="1"/>
  <c r="H22" i="1"/>
  <c r="H30" i="1"/>
  <c r="H36" i="1"/>
  <c r="H44" i="1"/>
  <c r="H27" i="1"/>
  <c r="H11" i="1"/>
  <c r="H37" i="1"/>
  <c r="H43" i="1"/>
  <c r="H26" i="1"/>
  <c r="H24" i="1"/>
  <c r="H42" i="1"/>
  <c r="H41" i="1"/>
  <c r="I41" i="1" s="1"/>
  <c r="B28" i="10"/>
  <c r="B39" i="10"/>
  <c r="B27" i="10"/>
  <c r="B38" i="10"/>
  <c r="F27" i="10"/>
  <c r="F28" i="10"/>
  <c r="F39" i="10"/>
  <c r="I23" i="32"/>
  <c r="I15" i="10"/>
  <c r="J15" i="10" s="1"/>
  <c r="L17" i="10" s="1"/>
  <c r="G27" i="10"/>
  <c r="I27" i="10" s="1"/>
  <c r="J27" i="10" s="1"/>
  <c r="I16" i="10"/>
  <c r="G28" i="10"/>
  <c r="I28" i="10" s="1"/>
  <c r="J28" i="10" s="1"/>
  <c r="J16" i="7"/>
  <c r="C14" i="33" s="1"/>
  <c r="J14" i="33" s="1"/>
  <c r="E16" i="8"/>
  <c r="J15" i="7"/>
  <c r="M15" i="7" s="1"/>
  <c r="E16" i="10"/>
  <c r="E15" i="8"/>
  <c r="J15" i="8" s="1"/>
  <c r="C13" i="30" s="1"/>
  <c r="D15" i="37" l="1"/>
  <c r="F15" i="37" s="1"/>
  <c r="C14" i="35"/>
  <c r="J16" i="10"/>
  <c r="J16" i="8"/>
  <c r="C14" i="30" s="1"/>
  <c r="C13" i="31"/>
  <c r="D5" i="36"/>
  <c r="E4" i="36"/>
  <c r="B4" i="36"/>
  <c r="B3" i="36"/>
  <c r="A2" i="36"/>
  <c r="A1" i="36"/>
  <c r="A4" i="19"/>
  <c r="A5" i="19"/>
  <c r="A6" i="19"/>
  <c r="A3" i="19"/>
  <c r="D4" i="19"/>
  <c r="A20" i="39"/>
  <c r="A19" i="39"/>
  <c r="A18" i="39"/>
  <c r="A17" i="39"/>
  <c r="T16" i="39"/>
  <c r="A16" i="39"/>
  <c r="T15" i="39"/>
  <c r="A14" i="39"/>
  <c r="T13" i="39"/>
  <c r="A12" i="39"/>
  <c r="M5" i="39"/>
  <c r="B4" i="39"/>
  <c r="P3" i="39"/>
  <c r="B3" i="39"/>
  <c r="A1" i="39"/>
  <c r="M5" i="2"/>
  <c r="C5" i="4"/>
  <c r="C5" i="15"/>
  <c r="F5" i="14"/>
  <c r="I3" i="14"/>
  <c r="B4" i="14"/>
  <c r="B3" i="14"/>
  <c r="A1" i="14"/>
  <c r="F5" i="37"/>
  <c r="I3" i="37"/>
  <c r="B4" i="37"/>
  <c r="B3" i="37"/>
  <c r="A1" i="37"/>
  <c r="F5" i="35"/>
  <c r="I4" i="35"/>
  <c r="B4" i="35"/>
  <c r="B4" i="44" s="1"/>
  <c r="B3" i="35"/>
  <c r="B3" i="44" s="1"/>
  <c r="A1" i="35"/>
  <c r="A1" i="44" s="1"/>
  <c r="F5" i="10"/>
  <c r="I4" i="10"/>
  <c r="B4" i="10"/>
  <c r="B3" i="10"/>
  <c r="A2" i="10"/>
  <c r="A1" i="10"/>
  <c r="F5" i="31"/>
  <c r="I4" i="31"/>
  <c r="B4" i="31"/>
  <c r="B3" i="31"/>
  <c r="A1" i="31"/>
  <c r="F5" i="30"/>
  <c r="F5" i="8"/>
  <c r="F5" i="33"/>
  <c r="F5" i="32"/>
  <c r="G5" i="11"/>
  <c r="L5" i="12"/>
  <c r="C14" i="31" l="1"/>
  <c r="F14" i="31" s="1"/>
  <c r="F13" i="31"/>
  <c r="G13" i="31"/>
  <c r="G14" i="31" l="1"/>
  <c r="H14" i="31" s="1"/>
  <c r="H13" i="31"/>
  <c r="A13" i="32"/>
  <c r="A11" i="32"/>
  <c r="G32" i="14" l="1"/>
  <c r="G30" i="14"/>
  <c r="B34" i="15" l="1"/>
  <c r="C34" i="15"/>
  <c r="C24" i="37"/>
  <c r="C23" i="37"/>
  <c r="C13" i="37"/>
  <c r="C12" i="37"/>
  <c r="J13" i="37"/>
  <c r="J14" i="37" l="1"/>
  <c r="K14" i="37" s="1"/>
  <c r="L14" i="37" s="1"/>
  <c r="N14" i="37" s="1"/>
  <c r="K13" i="37"/>
  <c r="F11" i="1"/>
  <c r="I11" i="1" s="1"/>
  <c r="F13" i="36" l="1"/>
  <c r="F14" i="36" s="1"/>
  <c r="F25" i="36" s="1"/>
  <c r="F17" i="36"/>
  <c r="F18" i="36"/>
  <c r="F19" i="36"/>
  <c r="F20" i="36"/>
  <c r="F21" i="36"/>
  <c r="F22" i="36"/>
  <c r="F24" i="36" l="1"/>
  <c r="F26" i="36" s="1"/>
  <c r="B30" i="36"/>
  <c r="B29" i="36"/>
  <c r="J15" i="37" l="1"/>
  <c r="J19" i="12"/>
  <c r="K19" i="12"/>
  <c r="L19" i="12"/>
  <c r="D19" i="11" s="1"/>
  <c r="M19" i="12"/>
  <c r="D18" i="11" s="1"/>
  <c r="N19" i="12"/>
  <c r="D17" i="11" s="1"/>
  <c r="O19" i="12"/>
  <c r="P19" i="12"/>
  <c r="D21" i="11" s="1"/>
  <c r="Q19" i="12"/>
  <c r="D19" i="12"/>
  <c r="D11" i="11" s="1"/>
  <c r="D12" i="11"/>
  <c r="D13" i="11"/>
  <c r="G19" i="12"/>
  <c r="D14" i="11" s="1"/>
  <c r="H19" i="12"/>
  <c r="D15" i="11" s="1"/>
  <c r="I19" i="12"/>
  <c r="D16" i="11" l="1"/>
  <c r="K15" i="37"/>
  <c r="L15" i="37" s="1"/>
  <c r="N15" i="37" s="1"/>
  <c r="D88" i="11"/>
  <c r="J88" i="11" s="1"/>
  <c r="D71" i="11"/>
  <c r="J71" i="11" s="1"/>
  <c r="L21" i="11"/>
  <c r="K71" i="11" s="1"/>
  <c r="D35" i="11"/>
  <c r="L35" i="11" s="1"/>
  <c r="K88" i="11" s="1"/>
  <c r="L88" i="11" s="1"/>
  <c r="D55" i="11"/>
  <c r="L55" i="11" s="1"/>
  <c r="D98" i="11"/>
  <c r="L98" i="11" s="1"/>
  <c r="D42" i="11"/>
  <c r="L42" i="11" s="1"/>
  <c r="D49" i="11"/>
  <c r="L49" i="11" s="1"/>
  <c r="D29" i="11"/>
  <c r="L29" i="11" s="1"/>
  <c r="K82" i="11" s="1"/>
  <c r="L15" i="11"/>
  <c r="K65" i="11" s="1"/>
  <c r="D65" i="11"/>
  <c r="J65" i="11" s="1"/>
  <c r="D82" i="11"/>
  <c r="J82" i="11" s="1"/>
  <c r="D45" i="11"/>
  <c r="L45" i="11" s="1"/>
  <c r="D94" i="11"/>
  <c r="L94" i="11" s="1"/>
  <c r="L11" i="11"/>
  <c r="K61" i="11" s="1"/>
  <c r="D61" i="11"/>
  <c r="J61" i="11" s="1"/>
  <c r="D38" i="11"/>
  <c r="L38" i="11" s="1"/>
  <c r="D78" i="11"/>
  <c r="J78" i="11" s="1"/>
  <c r="D25" i="11"/>
  <c r="L25" i="11" s="1"/>
  <c r="K78" i="11" s="1"/>
  <c r="L78" i="11" s="1"/>
  <c r="D20" i="11"/>
  <c r="D22" i="11"/>
  <c r="D72" i="11" s="1"/>
  <c r="J72" i="11" s="1"/>
  <c r="D31" i="11"/>
  <c r="L31" i="11" s="1"/>
  <c r="K84" i="11" s="1"/>
  <c r="D84" i="11"/>
  <c r="J84" i="11" s="1"/>
  <c r="D51" i="11"/>
  <c r="L51" i="11" s="1"/>
  <c r="D67" i="11"/>
  <c r="J67" i="11" s="1"/>
  <c r="L17" i="11"/>
  <c r="K67" i="11" s="1"/>
  <c r="L14" i="11"/>
  <c r="K64" i="11" s="1"/>
  <c r="D41" i="11"/>
  <c r="L41" i="11" s="1"/>
  <c r="D48" i="11"/>
  <c r="L48" i="11" s="1"/>
  <c r="D97" i="11"/>
  <c r="L97" i="11" s="1"/>
  <c r="D28" i="11"/>
  <c r="L28" i="11" s="1"/>
  <c r="K81" i="11" s="1"/>
  <c r="D81" i="11"/>
  <c r="J81" i="11" s="1"/>
  <c r="D64" i="11"/>
  <c r="J64" i="11" s="1"/>
  <c r="D86" i="11"/>
  <c r="J86" i="11" s="1"/>
  <c r="D33" i="11"/>
  <c r="L33" i="11" s="1"/>
  <c r="K86" i="11" s="1"/>
  <c r="D69" i="11"/>
  <c r="J69" i="11" s="1"/>
  <c r="D53" i="11"/>
  <c r="L53" i="11" s="1"/>
  <c r="L19" i="11"/>
  <c r="K69" i="11" s="1"/>
  <c r="D66" i="11"/>
  <c r="J66" i="11" s="1"/>
  <c r="D83" i="11"/>
  <c r="J83" i="11" s="1"/>
  <c r="D50" i="11"/>
  <c r="L50" i="11" s="1"/>
  <c r="D30" i="11"/>
  <c r="L30" i="11" s="1"/>
  <c r="K83" i="11" s="1"/>
  <c r="L16" i="11"/>
  <c r="K66" i="11" s="1"/>
  <c r="D39" i="11"/>
  <c r="L39" i="11" s="1"/>
  <c r="D62" i="11"/>
  <c r="J62" i="11" s="1"/>
  <c r="D95" i="11"/>
  <c r="L95" i="11" s="1"/>
  <c r="D79" i="11"/>
  <c r="J79" i="11" s="1"/>
  <c r="D26" i="11"/>
  <c r="L26" i="11" s="1"/>
  <c r="K79" i="11" s="1"/>
  <c r="L12" i="11"/>
  <c r="K62" i="11" s="1"/>
  <c r="D46" i="11"/>
  <c r="L46" i="11" s="1"/>
  <c r="D32" i="11"/>
  <c r="L32" i="11" s="1"/>
  <c r="K85" i="11" s="1"/>
  <c r="D68" i="11"/>
  <c r="J68" i="11" s="1"/>
  <c r="D52" i="11"/>
  <c r="L52" i="11" s="1"/>
  <c r="L18" i="11"/>
  <c r="K68" i="11" s="1"/>
  <c r="D85" i="11"/>
  <c r="J85" i="11" s="1"/>
  <c r="L13" i="11"/>
  <c r="D96" i="11"/>
  <c r="L96" i="11" s="1"/>
  <c r="D63" i="11"/>
  <c r="J63" i="11" s="1"/>
  <c r="D27" i="11"/>
  <c r="L27" i="11" s="1"/>
  <c r="D40" i="11"/>
  <c r="L40" i="11" s="1"/>
  <c r="D47" i="11"/>
  <c r="L47" i="11" s="1"/>
  <c r="D80" i="11"/>
  <c r="J80" i="11" s="1"/>
  <c r="G12" i="35"/>
  <c r="F12" i="35"/>
  <c r="B12" i="35"/>
  <c r="C28" i="15"/>
  <c r="A28" i="15"/>
  <c r="B28" i="15"/>
  <c r="F12" i="10"/>
  <c r="L71" i="11" l="1"/>
  <c r="I35" i="10"/>
  <c r="J35" i="10" s="1"/>
  <c r="F26" i="10"/>
  <c r="F37" i="43"/>
  <c r="F36" i="43"/>
  <c r="L61" i="11"/>
  <c r="I12" i="10"/>
  <c r="G26" i="10"/>
  <c r="I26" i="10" s="1"/>
  <c r="J26" i="10" s="1"/>
  <c r="D36" i="11"/>
  <c r="L36" i="11" s="1"/>
  <c r="K89" i="11" s="1"/>
  <c r="D56" i="11"/>
  <c r="L56" i="11" s="1"/>
  <c r="L22" i="11"/>
  <c r="K72" i="11" s="1"/>
  <c r="L72" i="11" s="1"/>
  <c r="D89" i="11"/>
  <c r="J89" i="11" s="1"/>
  <c r="L37" i="11"/>
  <c r="L65" i="11"/>
  <c r="L82" i="11"/>
  <c r="L66" i="11"/>
  <c r="D34" i="11"/>
  <c r="L34" i="11" s="1"/>
  <c r="K87" i="11" s="1"/>
  <c r="D70" i="11"/>
  <c r="J70" i="11" s="1"/>
  <c r="L20" i="11"/>
  <c r="K70" i="11" s="1"/>
  <c r="D87" i="11"/>
  <c r="J87" i="11" s="1"/>
  <c r="D54" i="11"/>
  <c r="L54" i="11" s="1"/>
  <c r="L67" i="11"/>
  <c r="L84" i="11"/>
  <c r="L81" i="11"/>
  <c r="L86" i="11"/>
  <c r="L64" i="11"/>
  <c r="L83" i="11"/>
  <c r="L69" i="11"/>
  <c r="L62" i="11"/>
  <c r="L79" i="11"/>
  <c r="L68" i="11"/>
  <c r="L85" i="11"/>
  <c r="K80" i="11"/>
  <c r="L80" i="11" s="1"/>
  <c r="K63" i="11"/>
  <c r="L63" i="11" s="1"/>
  <c r="B12" i="31"/>
  <c r="B12" i="30"/>
  <c r="G36" i="43" l="1"/>
  <c r="AE36" i="43"/>
  <c r="S36" i="43"/>
  <c r="W36" i="43"/>
  <c r="K36" i="43"/>
  <c r="O36" i="43"/>
  <c r="AC36" i="43"/>
  <c r="AA36" i="43"/>
  <c r="Q36" i="43"/>
  <c r="U36" i="43"/>
  <c r="AG36" i="43"/>
  <c r="Y36" i="43"/>
  <c r="M36" i="43"/>
  <c r="G37" i="43"/>
  <c r="Y37" i="43"/>
  <c r="S37" i="43"/>
  <c r="U37" i="43"/>
  <c r="M37" i="43"/>
  <c r="AC37" i="43"/>
  <c r="Q37" i="43"/>
  <c r="K37" i="43"/>
  <c r="AG37" i="43"/>
  <c r="O37" i="43"/>
  <c r="AE37" i="43"/>
  <c r="W37" i="43"/>
  <c r="AA37" i="43"/>
  <c r="L89" i="11"/>
  <c r="L87" i="11"/>
  <c r="L70" i="11"/>
  <c r="B12" i="8"/>
  <c r="B12" i="10" s="1"/>
  <c r="B13" i="44" s="1"/>
  <c r="C12" i="8"/>
  <c r="E12" i="8" s="1"/>
  <c r="J12" i="8" s="1"/>
  <c r="B12" i="33"/>
  <c r="B13" i="33"/>
  <c r="E12" i="7"/>
  <c r="J12" i="7" s="1"/>
  <c r="M12" i="7" s="1"/>
  <c r="B26" i="10" l="1"/>
  <c r="B35" i="10"/>
  <c r="AI36" i="43"/>
  <c r="AI37" i="43"/>
  <c r="C12" i="31"/>
  <c r="G12" i="31" s="1"/>
  <c r="C12" i="30"/>
  <c r="C12" i="33"/>
  <c r="C13" i="33"/>
  <c r="J13" i="33" s="1"/>
  <c r="K17" i="37" l="1"/>
  <c r="F12" i="31"/>
  <c r="H12" i="31" s="1"/>
  <c r="R77" i="2"/>
  <c r="B77" i="2"/>
  <c r="A77" i="2"/>
  <c r="D12" i="35"/>
  <c r="D13" i="35" s="1"/>
  <c r="C33" i="15"/>
  <c r="B33" i="15"/>
  <c r="A33" i="15"/>
  <c r="B22" i="35"/>
  <c r="B21" i="44" s="1"/>
  <c r="B21" i="35"/>
  <c r="B20" i="44" s="1"/>
  <c r="G11" i="35"/>
  <c r="F11" i="35"/>
  <c r="B11" i="35"/>
  <c r="D14" i="35" l="1"/>
  <c r="E13" i="35"/>
  <c r="I12" i="35"/>
  <c r="I11" i="35"/>
  <c r="H28" i="1"/>
  <c r="D15" i="35" l="1"/>
  <c r="E15" i="35" s="1"/>
  <c r="E14" i="35"/>
  <c r="F26" i="14"/>
  <c r="T74" i="2" l="1"/>
  <c r="T78" i="2"/>
  <c r="T54" i="2"/>
  <c r="T55" i="2"/>
  <c r="T56" i="2"/>
  <c r="T61" i="2"/>
  <c r="T44" i="2"/>
  <c r="T52" i="2"/>
  <c r="T33" i="2"/>
  <c r="T17" i="2"/>
  <c r="T18" i="2"/>
  <c r="T23" i="2"/>
  <c r="T24" i="2"/>
  <c r="T25" i="2"/>
  <c r="T27" i="2"/>
  <c r="R79" i="2"/>
  <c r="R80" i="2"/>
  <c r="R81" i="2"/>
  <c r="R82" i="2"/>
  <c r="R83" i="2"/>
  <c r="A80" i="2"/>
  <c r="B80" i="2"/>
  <c r="A81" i="2"/>
  <c r="B81" i="2"/>
  <c r="A82" i="2"/>
  <c r="B82" i="2"/>
  <c r="A83" i="2"/>
  <c r="B83" i="2"/>
  <c r="B79" i="2"/>
  <c r="A79" i="2"/>
  <c r="R75" i="2"/>
  <c r="R76" i="2"/>
  <c r="A76" i="2"/>
  <c r="B76" i="2"/>
  <c r="B75" i="2"/>
  <c r="A75" i="2"/>
  <c r="R62" i="2"/>
  <c r="R63" i="2"/>
  <c r="R64" i="2"/>
  <c r="R65" i="2"/>
  <c r="R66" i="2"/>
  <c r="R67" i="2"/>
  <c r="R68" i="2"/>
  <c r="R69" i="2"/>
  <c r="R70" i="2"/>
  <c r="R71" i="2"/>
  <c r="R72" i="2"/>
  <c r="R73" i="2"/>
  <c r="R57" i="2"/>
  <c r="R58" i="2"/>
  <c r="R59" i="2"/>
  <c r="R60" i="2"/>
  <c r="A63" i="2"/>
  <c r="B63" i="2"/>
  <c r="A64" i="2"/>
  <c r="B64" i="2"/>
  <c r="A65" i="2"/>
  <c r="B65" i="2"/>
  <c r="A66" i="2"/>
  <c r="B66" i="2"/>
  <c r="A67" i="2"/>
  <c r="B67" i="2"/>
  <c r="A68" i="2"/>
  <c r="A69" i="2"/>
  <c r="B69" i="2"/>
  <c r="A70" i="2"/>
  <c r="B70" i="2"/>
  <c r="A71" i="2"/>
  <c r="B71" i="2"/>
  <c r="A72" i="2"/>
  <c r="B72" i="2"/>
  <c r="A73" i="2"/>
  <c r="B73" i="2"/>
  <c r="B62" i="2"/>
  <c r="A62" i="2"/>
  <c r="A58" i="2"/>
  <c r="B58" i="2"/>
  <c r="A59" i="2"/>
  <c r="B59" i="2"/>
  <c r="A60" i="2"/>
  <c r="B60" i="2"/>
  <c r="B57" i="2"/>
  <c r="A57" i="2"/>
  <c r="R53" i="2"/>
  <c r="R46" i="2"/>
  <c r="R47" i="2"/>
  <c r="R48" i="2"/>
  <c r="R49" i="2"/>
  <c r="R50" i="2"/>
  <c r="R51" i="2"/>
  <c r="R34" i="2"/>
  <c r="R35" i="2"/>
  <c r="R36" i="2"/>
  <c r="R37" i="2"/>
  <c r="R38" i="2"/>
  <c r="R39" i="2"/>
  <c r="R40" i="2"/>
  <c r="R41" i="2"/>
  <c r="R42" i="2"/>
  <c r="R43" i="2"/>
  <c r="R45" i="2"/>
  <c r="B53" i="2"/>
  <c r="A53" i="2"/>
  <c r="A46" i="2"/>
  <c r="B46" i="2"/>
  <c r="A47" i="2"/>
  <c r="B47" i="2"/>
  <c r="A48" i="2"/>
  <c r="B48" i="2"/>
  <c r="A49" i="2"/>
  <c r="B49" i="2"/>
  <c r="A50" i="2"/>
  <c r="B50" i="2"/>
  <c r="A51" i="2"/>
  <c r="B51" i="2"/>
  <c r="B45" i="2"/>
  <c r="A45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B34" i="2"/>
  <c r="A34" i="2"/>
  <c r="R26" i="2"/>
  <c r="R28" i="2"/>
  <c r="R29" i="2"/>
  <c r="R30" i="2"/>
  <c r="R31" i="2"/>
  <c r="R32" i="2"/>
  <c r="B29" i="2"/>
  <c r="B30" i="2"/>
  <c r="B31" i="2"/>
  <c r="B32" i="2"/>
  <c r="B28" i="2"/>
  <c r="A32" i="2"/>
  <c r="A29" i="2"/>
  <c r="A30" i="2"/>
  <c r="A31" i="2"/>
  <c r="A28" i="2"/>
  <c r="B26" i="2"/>
  <c r="A26" i="2"/>
  <c r="R20" i="2"/>
  <c r="R21" i="2"/>
  <c r="R22" i="2"/>
  <c r="R19" i="2"/>
  <c r="A20" i="2"/>
  <c r="B20" i="2"/>
  <c r="A21" i="2"/>
  <c r="B21" i="2"/>
  <c r="A22" i="2"/>
  <c r="B22" i="2"/>
  <c r="B19" i="2"/>
  <c r="A19" i="2"/>
  <c r="R12" i="2"/>
  <c r="R13" i="2"/>
  <c r="R14" i="2"/>
  <c r="R15" i="2"/>
  <c r="R16" i="2"/>
  <c r="B13" i="2"/>
  <c r="B14" i="2"/>
  <c r="B15" i="2"/>
  <c r="B16" i="2"/>
  <c r="A16" i="2"/>
  <c r="A13" i="2"/>
  <c r="A14" i="2"/>
  <c r="A15" i="2"/>
  <c r="A12" i="2"/>
  <c r="B12" i="2"/>
  <c r="I13" i="35" l="1"/>
  <c r="H14" i="35" l="1"/>
  <c r="I14" i="35" s="1"/>
  <c r="J13" i="35"/>
  <c r="L13" i="35" s="1"/>
  <c r="D10" i="11"/>
  <c r="E4" i="19"/>
  <c r="B4" i="19"/>
  <c r="G3" i="19"/>
  <c r="E3" i="19"/>
  <c r="B3" i="19"/>
  <c r="A1" i="19"/>
  <c r="A1" i="4"/>
  <c r="B3" i="4"/>
  <c r="D3" i="4"/>
  <c r="F3" i="4"/>
  <c r="B4" i="4"/>
  <c r="D4" i="4"/>
  <c r="P3" i="2"/>
  <c r="B4" i="2"/>
  <c r="B3" i="2"/>
  <c r="A2" i="2"/>
  <c r="A1" i="2"/>
  <c r="D93" i="11" l="1"/>
  <c r="L93" i="11" s="1"/>
  <c r="K91" i="11" s="1"/>
  <c r="F40" i="43" s="1"/>
  <c r="D44" i="11"/>
  <c r="L44" i="11" s="1"/>
  <c r="K43" i="11" s="1"/>
  <c r="D60" i="11"/>
  <c r="J60" i="11" s="1"/>
  <c r="D24" i="11"/>
  <c r="L24" i="11" s="1"/>
  <c r="L10" i="11"/>
  <c r="D77" i="11"/>
  <c r="J77" i="11" s="1"/>
  <c r="J14" i="35"/>
  <c r="L14" i="35" s="1"/>
  <c r="E12" i="30"/>
  <c r="E13" i="30" s="1"/>
  <c r="D12" i="30"/>
  <c r="D13" i="30" s="1"/>
  <c r="B112" i="34"/>
  <c r="B111" i="34"/>
  <c r="D5" i="34"/>
  <c r="B4" i="34"/>
  <c r="B3" i="34"/>
  <c r="A1" i="34"/>
  <c r="I12" i="31"/>
  <c r="I13" i="31" s="1"/>
  <c r="I12" i="30"/>
  <c r="I13" i="30" s="1"/>
  <c r="M12" i="33"/>
  <c r="M13" i="33" l="1"/>
  <c r="F21" i="43"/>
  <c r="F22" i="43"/>
  <c r="G40" i="43"/>
  <c r="U40" i="43"/>
  <c r="W40" i="43"/>
  <c r="O40" i="43"/>
  <c r="Y40" i="43"/>
  <c r="K40" i="43"/>
  <c r="AE40" i="43"/>
  <c r="AG40" i="43"/>
  <c r="AA40" i="43"/>
  <c r="S40" i="43"/>
  <c r="M40" i="43"/>
  <c r="Q40" i="43"/>
  <c r="AC40" i="43"/>
  <c r="K60" i="11"/>
  <c r="L60" i="11" s="1"/>
  <c r="K57" i="11" s="1"/>
  <c r="K9" i="11"/>
  <c r="F19" i="43" s="1"/>
  <c r="K77" i="11"/>
  <c r="L77" i="11" s="1"/>
  <c r="K74" i="11" s="1"/>
  <c r="K23" i="11"/>
  <c r="F23" i="43" l="1"/>
  <c r="G19" i="43"/>
  <c r="S19" i="43"/>
  <c r="W19" i="43"/>
  <c r="AC19" i="43"/>
  <c r="K19" i="43"/>
  <c r="AA19" i="43"/>
  <c r="O19" i="43"/>
  <c r="U19" i="43"/>
  <c r="AE19" i="43"/>
  <c r="M19" i="43"/>
  <c r="Q19" i="43"/>
  <c r="AG19" i="43"/>
  <c r="Y19" i="43"/>
  <c r="G22" i="43"/>
  <c r="W22" i="43"/>
  <c r="AG22" i="43"/>
  <c r="S22" i="43"/>
  <c r="K22" i="43"/>
  <c r="AC22" i="43"/>
  <c r="AA22" i="43"/>
  <c r="O22" i="43"/>
  <c r="AE22" i="43"/>
  <c r="U22" i="43"/>
  <c r="Y22" i="43"/>
  <c r="M22" i="43"/>
  <c r="Q22" i="43"/>
  <c r="AI40" i="43"/>
  <c r="G21" i="43"/>
  <c r="AC21" i="43"/>
  <c r="U21" i="43"/>
  <c r="AA21" i="43"/>
  <c r="Y21" i="43"/>
  <c r="O21" i="43"/>
  <c r="AE21" i="43"/>
  <c r="S21" i="43"/>
  <c r="K21" i="43"/>
  <c r="AG21" i="43"/>
  <c r="W21" i="43"/>
  <c r="M21" i="43"/>
  <c r="Q21" i="43"/>
  <c r="F24" i="43"/>
  <c r="F20" i="43"/>
  <c r="M14" i="33"/>
  <c r="H29" i="1"/>
  <c r="AI19" i="43" l="1"/>
  <c r="G20" i="43"/>
  <c r="S20" i="43"/>
  <c r="Y20" i="43"/>
  <c r="M20" i="43"/>
  <c r="AC20" i="43"/>
  <c r="Q20" i="43"/>
  <c r="K20" i="43"/>
  <c r="AG20" i="43"/>
  <c r="U20" i="43"/>
  <c r="AE20" i="43"/>
  <c r="AA20" i="43"/>
  <c r="W20" i="43"/>
  <c r="O20" i="43"/>
  <c r="AI22" i="43"/>
  <c r="G24" i="43"/>
  <c r="AG24" i="43"/>
  <c r="Q24" i="43"/>
  <c r="Y24" i="43"/>
  <c r="M24" i="43"/>
  <c r="AA24" i="43"/>
  <c r="O24" i="43"/>
  <c r="S24" i="43"/>
  <c r="AC24" i="43"/>
  <c r="U24" i="43"/>
  <c r="AE24" i="43"/>
  <c r="W24" i="43"/>
  <c r="K24" i="43"/>
  <c r="G23" i="43"/>
  <c r="S23" i="43"/>
  <c r="M23" i="43"/>
  <c r="W23" i="43"/>
  <c r="Y23" i="43"/>
  <c r="AC23" i="43"/>
  <c r="Q23" i="43"/>
  <c r="AG23" i="43"/>
  <c r="U23" i="43"/>
  <c r="K23" i="43"/>
  <c r="O23" i="43"/>
  <c r="AA23" i="43"/>
  <c r="AE23" i="43"/>
  <c r="AI21" i="43"/>
  <c r="I14" i="30"/>
  <c r="AI23" i="43" l="1"/>
  <c r="AI24" i="43"/>
  <c r="AI20" i="43"/>
  <c r="J13" i="31"/>
  <c r="I14" i="31"/>
  <c r="I16" i="35" l="1"/>
  <c r="J14" i="31"/>
  <c r="E14" i="30"/>
  <c r="G13" i="30"/>
  <c r="D14" i="30"/>
  <c r="F13" i="30"/>
  <c r="B38" i="15"/>
  <c r="C38" i="15"/>
  <c r="B39" i="15"/>
  <c r="C39" i="15"/>
  <c r="C36" i="15"/>
  <c r="B36" i="15"/>
  <c r="B21" i="31"/>
  <c r="B20" i="31"/>
  <c r="B11" i="31"/>
  <c r="B11" i="30"/>
  <c r="B20" i="30"/>
  <c r="B19" i="30"/>
  <c r="B20" i="33"/>
  <c r="B19" i="33"/>
  <c r="E42" i="32"/>
  <c r="E41" i="32"/>
  <c r="G5" i="32"/>
  <c r="B4" i="32"/>
  <c r="B3" i="32"/>
  <c r="E2" i="32"/>
  <c r="E1" i="32"/>
  <c r="B11" i="33"/>
  <c r="L4" i="33"/>
  <c r="B4" i="33"/>
  <c r="B3" i="33"/>
  <c r="A2" i="33"/>
  <c r="A1" i="33"/>
  <c r="I11" i="32"/>
  <c r="I13" i="32" s="1"/>
  <c r="H29" i="32" l="1"/>
  <c r="I15" i="32"/>
  <c r="G14" i="30"/>
  <c r="F14" i="30"/>
  <c r="H13" i="30"/>
  <c r="J13" i="30" s="1"/>
  <c r="H14" i="30" l="1"/>
  <c r="J14" i="30" s="1"/>
  <c r="I4" i="30"/>
  <c r="B4" i="30"/>
  <c r="B3" i="30"/>
  <c r="A1" i="30"/>
  <c r="I14" i="33" l="1"/>
  <c r="K14" i="33" s="1"/>
  <c r="L14" i="33" s="1"/>
  <c r="I13" i="33"/>
  <c r="K13" i="33" s="1"/>
  <c r="L13" i="33" s="1"/>
  <c r="P14" i="33" l="1"/>
  <c r="O14" i="33"/>
  <c r="E15" i="32"/>
  <c r="P13" i="33"/>
  <c r="O13" i="33"/>
  <c r="E3" i="15"/>
  <c r="D3" i="15"/>
  <c r="D4" i="15"/>
  <c r="O4" i="12"/>
  <c r="B4" i="12"/>
  <c r="B3" i="12"/>
  <c r="A2" i="12"/>
  <c r="A1" i="12"/>
  <c r="J4" i="11"/>
  <c r="B4" i="11"/>
  <c r="B3" i="11"/>
  <c r="A2" i="11"/>
  <c r="A1" i="11"/>
  <c r="I51" i="20" l="1"/>
  <c r="J51" i="20" s="1"/>
  <c r="J50" i="20"/>
  <c r="J46" i="20"/>
  <c r="J47" i="20" s="1"/>
  <c r="J42" i="20"/>
  <c r="J41" i="20"/>
  <c r="J40" i="20"/>
  <c r="J39" i="20"/>
  <c r="J38" i="20"/>
  <c r="I6" i="20"/>
  <c r="B5" i="20"/>
  <c r="B4" i="20"/>
  <c r="A2" i="20"/>
  <c r="A1" i="20"/>
  <c r="F11" i="10"/>
  <c r="E12" i="10"/>
  <c r="L36" i="14" l="1"/>
  <c r="J12" i="10"/>
  <c r="L16" i="10" s="1"/>
  <c r="L13" i="37"/>
  <c r="N13" i="37" s="1"/>
  <c r="C12" i="35"/>
  <c r="E12" i="35" s="1"/>
  <c r="J12" i="35" s="1"/>
  <c r="L12" i="35" s="1"/>
  <c r="F25" i="10"/>
  <c r="G25" i="10"/>
  <c r="I25" i="10" s="1"/>
  <c r="J25" i="10" s="1"/>
  <c r="I34" i="10"/>
  <c r="I12" i="33"/>
  <c r="J52" i="20"/>
  <c r="J43" i="20"/>
  <c r="C17" i="7"/>
  <c r="M36" i="14" l="1"/>
  <c r="J34" i="10"/>
  <c r="I41" i="10"/>
  <c r="C42" i="10" s="1"/>
  <c r="E31" i="15" s="1"/>
  <c r="J55" i="20"/>
  <c r="J56" i="20" s="1"/>
  <c r="J57" i="20" s="1"/>
  <c r="J44" i="10" l="1"/>
  <c r="J41" i="10"/>
  <c r="F35" i="1"/>
  <c r="H35" i="1" s="1"/>
  <c r="G35" i="1" s="1"/>
  <c r="F64" i="43"/>
  <c r="AG64" i="43" s="1"/>
  <c r="F12" i="30"/>
  <c r="G12" i="30"/>
  <c r="J12" i="33"/>
  <c r="K12" i="33"/>
  <c r="E19" i="4" l="1"/>
  <c r="F19" i="16" s="1"/>
  <c r="U64" i="43"/>
  <c r="Y64" i="43"/>
  <c r="G64" i="43"/>
  <c r="S64" i="43"/>
  <c r="AA64" i="43"/>
  <c r="W64" i="43"/>
  <c r="O64" i="43"/>
  <c r="Q64" i="43"/>
  <c r="M64" i="43"/>
  <c r="AC64" i="43"/>
  <c r="K64" i="43"/>
  <c r="AE64" i="43"/>
  <c r="H12" i="30"/>
  <c r="J12" i="30" s="1"/>
  <c r="J12" i="31"/>
  <c r="L12" i="33"/>
  <c r="E13" i="32" s="1"/>
  <c r="I27" i="20"/>
  <c r="P12" i="33" l="1"/>
  <c r="O12" i="33"/>
  <c r="AI64" i="43"/>
  <c r="D26" i="28"/>
  <c r="F6" i="7"/>
  <c r="A11" i="7"/>
  <c r="A11" i="35" l="1"/>
  <c r="A11" i="40"/>
  <c r="G3" i="41"/>
  <c r="F6" i="40"/>
  <c r="G4" i="16"/>
  <c r="G3" i="36"/>
  <c r="F6" i="35"/>
  <c r="F6" i="10"/>
  <c r="F6" i="31"/>
  <c r="M6" i="39"/>
  <c r="F6" i="14"/>
  <c r="F6" i="37"/>
  <c r="G4" i="19"/>
  <c r="M6" i="2"/>
  <c r="F4" i="4"/>
  <c r="F4" i="34"/>
  <c r="I4" i="32"/>
  <c r="F6" i="33"/>
  <c r="F6" i="30"/>
  <c r="E4" i="15"/>
  <c r="L6" i="12"/>
  <c r="G6" i="11"/>
  <c r="F7" i="20"/>
  <c r="A12" i="7"/>
  <c r="A11" i="30"/>
  <c r="A11" i="31"/>
  <c r="A11" i="33"/>
  <c r="J13" i="20"/>
  <c r="J14" i="20"/>
  <c r="J15" i="20"/>
  <c r="J16" i="20"/>
  <c r="J18" i="20"/>
  <c r="A15" i="7" l="1"/>
  <c r="A13" i="40" s="1"/>
  <c r="A12" i="40"/>
  <c r="A12" i="35"/>
  <c r="A12" i="30"/>
  <c r="A12" i="31"/>
  <c r="A12" i="8"/>
  <c r="A12" i="33"/>
  <c r="A34" i="28"/>
  <c r="A32" i="28"/>
  <c r="A30" i="28"/>
  <c r="A28" i="28"/>
  <c r="A26" i="28"/>
  <c r="A24" i="28"/>
  <c r="A22" i="28"/>
  <c r="A20" i="28"/>
  <c r="A18" i="28"/>
  <c r="A16" i="28"/>
  <c r="A12" i="28"/>
  <c r="A10" i="28"/>
  <c r="A16" i="16"/>
  <c r="A17" i="16"/>
  <c r="A23" i="16"/>
  <c r="A15" i="16"/>
  <c r="A14" i="16"/>
  <c r="A12" i="16"/>
  <c r="A10" i="16"/>
  <c r="P34" i="28"/>
  <c r="P32" i="28"/>
  <c r="P30" i="28"/>
  <c r="P28" i="28"/>
  <c r="P27" i="28"/>
  <c r="P26" i="28"/>
  <c r="P24" i="28"/>
  <c r="P22" i="28"/>
  <c r="P20" i="28"/>
  <c r="P18" i="28"/>
  <c r="P16" i="28"/>
  <c r="P15" i="28"/>
  <c r="P14" i="28"/>
  <c r="P12" i="28"/>
  <c r="P10" i="28"/>
  <c r="H8" i="28"/>
  <c r="J8" i="28" s="1"/>
  <c r="L8" i="28" s="1"/>
  <c r="N8" i="28" s="1"/>
  <c r="A12" i="10" l="1"/>
  <c r="A13" i="44" s="1"/>
  <c r="B13" i="37"/>
  <c r="A35" i="15"/>
  <c r="A26" i="10" l="1"/>
  <c r="A35" i="10"/>
  <c r="I11" i="10"/>
  <c r="I18" i="10" s="1"/>
  <c r="B11" i="8"/>
  <c r="B11" i="10" s="1"/>
  <c r="B12" i="44" s="1"/>
  <c r="C11" i="8"/>
  <c r="C18" i="8" s="1"/>
  <c r="I11" i="8"/>
  <c r="I18" i="8" s="1"/>
  <c r="B25" i="10" l="1"/>
  <c r="B34" i="10"/>
  <c r="E11" i="8"/>
  <c r="E18" i="8" s="1"/>
  <c r="E11" i="7"/>
  <c r="E17" i="7" s="1"/>
  <c r="I11" i="7"/>
  <c r="I17" i="7" l="1"/>
  <c r="B21" i="32" s="1"/>
  <c r="H20" i="32" s="1"/>
  <c r="J11" i="7"/>
  <c r="M11" i="7" s="1"/>
  <c r="F32" i="43"/>
  <c r="J11" i="8"/>
  <c r="E11" i="10"/>
  <c r="L35" i="14" s="1"/>
  <c r="C18" i="10"/>
  <c r="M35" i="14" l="1"/>
  <c r="D17" i="37"/>
  <c r="C11" i="35"/>
  <c r="C16" i="35" s="1"/>
  <c r="G32" i="43"/>
  <c r="K32" i="43"/>
  <c r="AG32" i="43"/>
  <c r="U32" i="43"/>
  <c r="AA32" i="43"/>
  <c r="W32" i="43"/>
  <c r="O32" i="43"/>
  <c r="AE32" i="43"/>
  <c r="S32" i="43"/>
  <c r="Y32" i="43"/>
  <c r="M32" i="43"/>
  <c r="AC32" i="43"/>
  <c r="Q32" i="43"/>
  <c r="F33" i="43"/>
  <c r="F17" i="37"/>
  <c r="A15" i="8"/>
  <c r="A13" i="30"/>
  <c r="A13" i="31"/>
  <c r="A13" i="33"/>
  <c r="A13" i="35"/>
  <c r="A16" i="7"/>
  <c r="J18" i="8"/>
  <c r="C11" i="31"/>
  <c r="C11" i="30"/>
  <c r="I11" i="33"/>
  <c r="J17" i="7"/>
  <c r="C11" i="33"/>
  <c r="C16" i="33" s="1"/>
  <c r="E18" i="10"/>
  <c r="J11" i="10"/>
  <c r="A12" i="12"/>
  <c r="A16" i="12" s="1"/>
  <c r="J18" i="10" l="1"/>
  <c r="L15" i="10"/>
  <c r="G33" i="43"/>
  <c r="W33" i="43"/>
  <c r="K33" i="43"/>
  <c r="Q33" i="43"/>
  <c r="AA33" i="43"/>
  <c r="Y33" i="43"/>
  <c r="M33" i="43"/>
  <c r="AG33" i="43"/>
  <c r="AE33" i="43"/>
  <c r="AC33" i="43"/>
  <c r="U33" i="43"/>
  <c r="O33" i="43"/>
  <c r="S33" i="43"/>
  <c r="AI32" i="43"/>
  <c r="F35" i="43"/>
  <c r="A16" i="8"/>
  <c r="B15" i="37" s="1"/>
  <c r="A14" i="40"/>
  <c r="A15" i="10"/>
  <c r="A14" i="44" s="1"/>
  <c r="B14" i="37"/>
  <c r="L17" i="37"/>
  <c r="E34" i="15" s="1"/>
  <c r="A14" i="33"/>
  <c r="A14" i="35"/>
  <c r="A14" i="30"/>
  <c r="A14" i="31"/>
  <c r="C16" i="31"/>
  <c r="K11" i="33"/>
  <c r="G11" i="31"/>
  <c r="G16" i="31" s="1"/>
  <c r="F11" i="31"/>
  <c r="F16" i="31" s="1"/>
  <c r="E11" i="35"/>
  <c r="E16" i="35" s="1"/>
  <c r="C16" i="30"/>
  <c r="F11" i="30"/>
  <c r="F16" i="30" s="1"/>
  <c r="G11" i="30"/>
  <c r="G16" i="30" s="1"/>
  <c r="J11" i="33"/>
  <c r="J16" i="33" l="1"/>
  <c r="E23" i="15" s="1"/>
  <c r="L11" i="33"/>
  <c r="A27" i="10"/>
  <c r="A38" i="10"/>
  <c r="G35" i="43"/>
  <c r="AG35" i="43"/>
  <c r="U35" i="43"/>
  <c r="K35" i="43"/>
  <c r="O35" i="43"/>
  <c r="AA35" i="43"/>
  <c r="AE35" i="43"/>
  <c r="S35" i="43"/>
  <c r="M35" i="43"/>
  <c r="W35" i="43"/>
  <c r="Q35" i="43"/>
  <c r="Y35" i="43"/>
  <c r="AC35" i="43"/>
  <c r="AI33" i="43"/>
  <c r="A30" i="10"/>
  <c r="A16" i="10"/>
  <c r="K16" i="33"/>
  <c r="E24" i="15" s="1"/>
  <c r="H11" i="31"/>
  <c r="J11" i="35"/>
  <c r="J16" i="35" s="1"/>
  <c r="E32" i="15" s="1"/>
  <c r="F36" i="1" s="1"/>
  <c r="I36" i="1" s="1"/>
  <c r="H11" i="30"/>
  <c r="C71" i="2"/>
  <c r="E11" i="32"/>
  <c r="E20" i="4" l="1"/>
  <c r="F20" i="16" s="1"/>
  <c r="A28" i="10"/>
  <c r="A39" i="10"/>
  <c r="H11" i="32"/>
  <c r="P11" i="33"/>
  <c r="O11" i="33"/>
  <c r="O16" i="33" s="1"/>
  <c r="E21" i="15" s="1"/>
  <c r="F24" i="1" s="1"/>
  <c r="I24" i="1" s="1"/>
  <c r="F51" i="43"/>
  <c r="O51" i="43" s="1"/>
  <c r="F26" i="1"/>
  <c r="I26" i="1" s="1"/>
  <c r="F52" i="43"/>
  <c r="O52" i="43" s="1"/>
  <c r="F27" i="1"/>
  <c r="I27" i="1" s="1"/>
  <c r="AI35" i="43"/>
  <c r="A31" i="10"/>
  <c r="N17" i="37"/>
  <c r="L11" i="35"/>
  <c r="L16" i="33"/>
  <c r="E20" i="15"/>
  <c r="J11" i="31"/>
  <c r="J16" i="31" s="1"/>
  <c r="E27" i="15" s="1"/>
  <c r="H16" i="31"/>
  <c r="E71" i="2"/>
  <c r="G71" i="2"/>
  <c r="O71" i="2"/>
  <c r="M71" i="2"/>
  <c r="K71" i="2"/>
  <c r="I71" i="2"/>
  <c r="J11" i="30"/>
  <c r="H16" i="30"/>
  <c r="C70" i="2"/>
  <c r="A11" i="8"/>
  <c r="B12" i="37" s="1"/>
  <c r="Y51" i="43" l="1"/>
  <c r="S51" i="43"/>
  <c r="Q51" i="43"/>
  <c r="AC51" i="43"/>
  <c r="AE51" i="43"/>
  <c r="AG51" i="43"/>
  <c r="G51" i="43"/>
  <c r="AA52" i="43"/>
  <c r="Q52" i="43"/>
  <c r="K51" i="43"/>
  <c r="U51" i="43"/>
  <c r="M51" i="43"/>
  <c r="AG52" i="43"/>
  <c r="U52" i="43"/>
  <c r="AC52" i="43"/>
  <c r="AA51" i="43"/>
  <c r="AE52" i="43"/>
  <c r="W51" i="43"/>
  <c r="G52" i="43"/>
  <c r="H13" i="32"/>
  <c r="H15" i="32" s="1"/>
  <c r="H23" i="32" s="1"/>
  <c r="H28" i="32" s="1"/>
  <c r="W52" i="43"/>
  <c r="K52" i="43"/>
  <c r="F59" i="43"/>
  <c r="G59" i="43" s="1"/>
  <c r="F30" i="1"/>
  <c r="I30" i="1" s="1"/>
  <c r="F49" i="43"/>
  <c r="M49" i="43" s="1"/>
  <c r="F23" i="1"/>
  <c r="I23" i="1" s="1"/>
  <c r="Y52" i="43"/>
  <c r="M52" i="43"/>
  <c r="S52" i="43"/>
  <c r="F27" i="43"/>
  <c r="F38" i="1"/>
  <c r="F73" i="43"/>
  <c r="L16" i="35"/>
  <c r="C17" i="35" s="1"/>
  <c r="J28" i="32"/>
  <c r="A32" i="10"/>
  <c r="J16" i="30"/>
  <c r="E28" i="15" s="1"/>
  <c r="F31" i="1" s="1"/>
  <c r="H31" i="1" s="1"/>
  <c r="G31" i="1" s="1"/>
  <c r="P16" i="33"/>
  <c r="M70" i="2"/>
  <c r="I70" i="2"/>
  <c r="G70" i="2"/>
  <c r="K70" i="2"/>
  <c r="E70" i="2"/>
  <c r="O70" i="2"/>
  <c r="Q71" i="2"/>
  <c r="T71" i="2" s="1"/>
  <c r="A11" i="10"/>
  <c r="A12" i="44" s="1"/>
  <c r="A18" i="2"/>
  <c r="B12" i="4"/>
  <c r="B14" i="39" s="1"/>
  <c r="H28" i="14"/>
  <c r="A30" i="15"/>
  <c r="A29" i="15"/>
  <c r="A20" i="15"/>
  <c r="A21" i="15"/>
  <c r="A23" i="15"/>
  <c r="A24" i="15"/>
  <c r="A25" i="15"/>
  <c r="A26" i="15"/>
  <c r="A27" i="15"/>
  <c r="A19" i="15"/>
  <c r="A18" i="15"/>
  <c r="A16" i="15"/>
  <c r="A17" i="15"/>
  <c r="A15" i="15"/>
  <c r="A14" i="15"/>
  <c r="A11" i="15"/>
  <c r="A10" i="15"/>
  <c r="A9" i="15"/>
  <c r="B13" i="15"/>
  <c r="C13" i="15"/>
  <c r="A12" i="15"/>
  <c r="A13" i="15"/>
  <c r="B12" i="15"/>
  <c r="B5" i="7"/>
  <c r="B5" i="43" s="1"/>
  <c r="AG49" i="43" l="1"/>
  <c r="AI51" i="43"/>
  <c r="S49" i="43"/>
  <c r="AI52" i="43"/>
  <c r="AC59" i="43"/>
  <c r="Q59" i="43"/>
  <c r="O49" i="43"/>
  <c r="E33" i="15"/>
  <c r="F37" i="1"/>
  <c r="AC49" i="43"/>
  <c r="Y59" i="43"/>
  <c r="K59" i="43"/>
  <c r="G49" i="43"/>
  <c r="Y49" i="43"/>
  <c r="AE59" i="43"/>
  <c r="AA49" i="43"/>
  <c r="U49" i="43"/>
  <c r="AE49" i="43"/>
  <c r="AA59" i="43"/>
  <c r="M59" i="43"/>
  <c r="W59" i="43"/>
  <c r="W49" i="43"/>
  <c r="K49" i="43"/>
  <c r="S59" i="43"/>
  <c r="O59" i="43"/>
  <c r="E16" i="15"/>
  <c r="F44" i="43" s="1"/>
  <c r="AG59" i="43"/>
  <c r="E22" i="15"/>
  <c r="F25" i="1" s="1"/>
  <c r="H25" i="1" s="1"/>
  <c r="G25" i="1" s="1"/>
  <c r="Q49" i="43"/>
  <c r="U59" i="43"/>
  <c r="A25" i="10"/>
  <c r="A34" i="10"/>
  <c r="F29" i="43"/>
  <c r="G27" i="43"/>
  <c r="K27" i="43"/>
  <c r="AG27" i="43"/>
  <c r="AC27" i="43"/>
  <c r="W27" i="43"/>
  <c r="AA27" i="43"/>
  <c r="O27" i="43"/>
  <c r="Q27" i="43"/>
  <c r="AE27" i="43"/>
  <c r="Y27" i="43"/>
  <c r="S27" i="43"/>
  <c r="U27" i="43"/>
  <c r="M27" i="43"/>
  <c r="G73" i="43"/>
  <c r="AA73" i="43"/>
  <c r="K73" i="43"/>
  <c r="Y73" i="43"/>
  <c r="W73" i="43"/>
  <c r="U73" i="43"/>
  <c r="S73" i="43"/>
  <c r="Q73" i="43"/>
  <c r="O73" i="43"/>
  <c r="AC73" i="43"/>
  <c r="M73" i="43"/>
  <c r="AE73" i="43"/>
  <c r="AG73" i="43"/>
  <c r="F60" i="43"/>
  <c r="A33" i="10"/>
  <c r="B5" i="41"/>
  <c r="B5" i="40"/>
  <c r="C40" i="2"/>
  <c r="B5" i="16"/>
  <c r="B5" i="36"/>
  <c r="B5" i="35"/>
  <c r="B5" i="44" s="1"/>
  <c r="B5" i="10"/>
  <c r="B5" i="14"/>
  <c r="B5" i="39"/>
  <c r="B5" i="31"/>
  <c r="B5" i="37"/>
  <c r="Q70" i="2"/>
  <c r="T70" i="2" s="1"/>
  <c r="B5" i="19"/>
  <c r="B5" i="4"/>
  <c r="B5" i="2"/>
  <c r="B5" i="34"/>
  <c r="B6" i="20"/>
  <c r="B5" i="32"/>
  <c r="B5" i="33"/>
  <c r="B5" i="30"/>
  <c r="B5" i="12"/>
  <c r="B5" i="11"/>
  <c r="B18" i="2"/>
  <c r="B12" i="28"/>
  <c r="B12" i="16"/>
  <c r="I37" i="1" l="1"/>
  <c r="AI59" i="43"/>
  <c r="AI49" i="43"/>
  <c r="H30" i="32"/>
  <c r="I32" i="32" s="1"/>
  <c r="I35" i="32" s="1"/>
  <c r="E17" i="15" s="1"/>
  <c r="F45" i="43" s="1"/>
  <c r="F28" i="43"/>
  <c r="AI27" i="43"/>
  <c r="G29" i="43"/>
  <c r="Q29" i="43"/>
  <c r="AG29" i="43"/>
  <c r="Y29" i="43"/>
  <c r="M29" i="43"/>
  <c r="AC29" i="43"/>
  <c r="S29" i="43"/>
  <c r="W29" i="43"/>
  <c r="K29" i="43"/>
  <c r="O29" i="43"/>
  <c r="AE29" i="43"/>
  <c r="U29" i="43"/>
  <c r="AA29" i="43"/>
  <c r="G44" i="43"/>
  <c r="M44" i="43"/>
  <c r="AA44" i="43"/>
  <c r="K44" i="43"/>
  <c r="Y44" i="43"/>
  <c r="W44" i="43"/>
  <c r="U44" i="43"/>
  <c r="S44" i="43"/>
  <c r="AG44" i="43"/>
  <c r="Q44" i="43"/>
  <c r="AE44" i="43"/>
  <c r="O44" i="43"/>
  <c r="AC44" i="43"/>
  <c r="AI73" i="43"/>
  <c r="G60" i="43"/>
  <c r="O60" i="43"/>
  <c r="M60" i="43"/>
  <c r="K60" i="43"/>
  <c r="AG60" i="43"/>
  <c r="AE60" i="43"/>
  <c r="AC60" i="43"/>
  <c r="Q60" i="43"/>
  <c r="U60" i="43"/>
  <c r="S60" i="43"/>
  <c r="W60" i="43"/>
  <c r="Y60" i="43"/>
  <c r="AA60" i="43"/>
  <c r="I40" i="2"/>
  <c r="K40" i="2"/>
  <c r="E40" i="2"/>
  <c r="M40" i="2"/>
  <c r="G40" i="2"/>
  <c r="C46" i="2"/>
  <c r="C77" i="2" l="1"/>
  <c r="O77" i="2" s="1"/>
  <c r="E21" i="4"/>
  <c r="F21" i="16" s="1"/>
  <c r="G45" i="43"/>
  <c r="AA45" i="43"/>
  <c r="S45" i="43"/>
  <c r="K45" i="43"/>
  <c r="Q45" i="43"/>
  <c r="W45" i="43"/>
  <c r="AG45" i="43"/>
  <c r="Y45" i="43"/>
  <c r="AE45" i="43"/>
  <c r="U45" i="43"/>
  <c r="M45" i="43"/>
  <c r="O45" i="43"/>
  <c r="AC45" i="43"/>
  <c r="AI29" i="43"/>
  <c r="G28" i="43"/>
  <c r="S28" i="43"/>
  <c r="W28" i="43"/>
  <c r="M28" i="43"/>
  <c r="Q28" i="43"/>
  <c r="AA28" i="43"/>
  <c r="AC28" i="43"/>
  <c r="AG28" i="43"/>
  <c r="Y28" i="43"/>
  <c r="U28" i="43"/>
  <c r="O28" i="43"/>
  <c r="K28" i="43"/>
  <c r="AE28" i="43"/>
  <c r="F34" i="43"/>
  <c r="AI60" i="43"/>
  <c r="AI44" i="43"/>
  <c r="Q40" i="2"/>
  <c r="T40" i="2" s="1"/>
  <c r="C42" i="2"/>
  <c r="G46" i="2"/>
  <c r="K46" i="2"/>
  <c r="I46" i="2"/>
  <c r="E46" i="2"/>
  <c r="M46" i="2"/>
  <c r="C35" i="2"/>
  <c r="I77" i="2" l="1"/>
  <c r="K77" i="2"/>
  <c r="M77" i="2"/>
  <c r="AI45" i="43"/>
  <c r="G34" i="43"/>
  <c r="U34" i="43"/>
  <c r="Y34" i="43"/>
  <c r="O34" i="43"/>
  <c r="M34" i="43"/>
  <c r="AC34" i="43"/>
  <c r="Q34" i="43"/>
  <c r="AE34" i="43"/>
  <c r="W34" i="43"/>
  <c r="AG34" i="43"/>
  <c r="S34" i="43"/>
  <c r="K34" i="43"/>
  <c r="AA34" i="43"/>
  <c r="AI28" i="43"/>
  <c r="C41" i="2"/>
  <c r="E42" i="2"/>
  <c r="I42" i="2"/>
  <c r="K42" i="2"/>
  <c r="G42" i="2"/>
  <c r="M42" i="2"/>
  <c r="Q46" i="2"/>
  <c r="T46" i="2" s="1"/>
  <c r="M35" i="2"/>
  <c r="K35" i="2"/>
  <c r="I35" i="2"/>
  <c r="G35" i="2"/>
  <c r="E35" i="2"/>
  <c r="B30" i="19"/>
  <c r="B29" i="19"/>
  <c r="Q77" i="2" l="1"/>
  <c r="T77" i="2" s="1"/>
  <c r="AI34" i="43"/>
  <c r="Q42" i="2"/>
  <c r="T42" i="2" s="1"/>
  <c r="E41" i="2"/>
  <c r="I41" i="2"/>
  <c r="G41" i="2"/>
  <c r="M41" i="2"/>
  <c r="K41" i="2"/>
  <c r="Q35" i="2"/>
  <c r="T35" i="2" s="1"/>
  <c r="I32" i="14"/>
  <c r="I30" i="14"/>
  <c r="I28" i="14"/>
  <c r="I26" i="14"/>
  <c r="I13" i="14"/>
  <c r="E38" i="15" s="1"/>
  <c r="I9" i="14"/>
  <c r="F43" i="1" l="1"/>
  <c r="I43" i="1" s="1"/>
  <c r="F71" i="43"/>
  <c r="Q41" i="2"/>
  <c r="T41" i="2" s="1"/>
  <c r="C80" i="2"/>
  <c r="C18" i="7"/>
  <c r="B6" i="16" s="1"/>
  <c r="G71" i="43" l="1"/>
  <c r="AA71" i="43"/>
  <c r="K71" i="43"/>
  <c r="Y71" i="43"/>
  <c r="S71" i="43"/>
  <c r="M71" i="43"/>
  <c r="AG71" i="43"/>
  <c r="Q71" i="43"/>
  <c r="W71" i="43"/>
  <c r="AE71" i="43"/>
  <c r="O71" i="43"/>
  <c r="AC71" i="43"/>
  <c r="U71" i="43"/>
  <c r="O80" i="2"/>
  <c r="K80" i="2"/>
  <c r="M80" i="2"/>
  <c r="B6" i="4"/>
  <c r="B6" i="19"/>
  <c r="B6" i="15"/>
  <c r="B25" i="15"/>
  <c r="C25" i="15"/>
  <c r="C26" i="15"/>
  <c r="B27" i="15"/>
  <c r="C27" i="15"/>
  <c r="B67" i="20"/>
  <c r="B66" i="20"/>
  <c r="J27" i="20"/>
  <c r="J26" i="20"/>
  <c r="J22" i="20"/>
  <c r="J23" i="20" s="1"/>
  <c r="H17" i="20"/>
  <c r="J17" i="20" s="1"/>
  <c r="B31" i="4"/>
  <c r="B45" i="28" s="1"/>
  <c r="B44" i="28"/>
  <c r="B33" i="16"/>
  <c r="B32" i="16"/>
  <c r="B43" i="15"/>
  <c r="B42" i="15"/>
  <c r="B49" i="1"/>
  <c r="G26" i="16"/>
  <c r="B23" i="4"/>
  <c r="B20" i="39" s="1"/>
  <c r="B17" i="4"/>
  <c r="B19" i="39" s="1"/>
  <c r="B16" i="4"/>
  <c r="B18" i="39" s="1"/>
  <c r="B15" i="4"/>
  <c r="B17" i="39" s="1"/>
  <c r="B14" i="4"/>
  <c r="B16" i="39" s="1"/>
  <c r="D11" i="14"/>
  <c r="F10" i="1"/>
  <c r="I10" i="1" s="1"/>
  <c r="I12" i="1" s="1"/>
  <c r="B46" i="14"/>
  <c r="B45" i="14"/>
  <c r="A11" i="2"/>
  <c r="A78" i="2"/>
  <c r="A74" i="2"/>
  <c r="A61" i="2"/>
  <c r="A56" i="2"/>
  <c r="A55" i="2"/>
  <c r="A52" i="2"/>
  <c r="A44" i="2"/>
  <c r="A33" i="2"/>
  <c r="A27" i="2"/>
  <c r="A25" i="2"/>
  <c r="B17" i="15"/>
  <c r="B24" i="12"/>
  <c r="B23" i="12"/>
  <c r="B48" i="10"/>
  <c r="B47" i="10"/>
  <c r="B23" i="8"/>
  <c r="B22" i="8"/>
  <c r="B11" i="15"/>
  <c r="C11" i="15"/>
  <c r="C10" i="15"/>
  <c r="B10" i="15"/>
  <c r="B5" i="15"/>
  <c r="B4" i="15"/>
  <c r="B3" i="15"/>
  <c r="A1" i="15"/>
  <c r="C30" i="15"/>
  <c r="B30" i="15"/>
  <c r="B24" i="15"/>
  <c r="C24" i="15"/>
  <c r="B20" i="15"/>
  <c r="C20" i="15"/>
  <c r="B21" i="15"/>
  <c r="C21" i="15"/>
  <c r="B23" i="15"/>
  <c r="C23" i="15"/>
  <c r="C19" i="15"/>
  <c r="B19" i="15"/>
  <c r="C16" i="15"/>
  <c r="C17" i="15"/>
  <c r="B16" i="15"/>
  <c r="B101" i="11"/>
  <c r="B100" i="11"/>
  <c r="B5" i="1"/>
  <c r="B4" i="1"/>
  <c r="B3" i="1"/>
  <c r="A1" i="1"/>
  <c r="I3" i="8"/>
  <c r="F6" i="8"/>
  <c r="B5" i="8"/>
  <c r="B4" i="8"/>
  <c r="B3" i="8"/>
  <c r="A1" i="8"/>
  <c r="B10" i="4"/>
  <c r="I11" i="14" l="1"/>
  <c r="I39" i="14" s="1"/>
  <c r="E37" i="15" s="1"/>
  <c r="F42" i="1" s="1"/>
  <c r="I42" i="1" s="1"/>
  <c r="P9" i="14"/>
  <c r="AI71" i="43"/>
  <c r="F70" i="43"/>
  <c r="B12" i="39"/>
  <c r="B10" i="16"/>
  <c r="Q80" i="2"/>
  <c r="T80" i="2" s="1"/>
  <c r="B10" i="28"/>
  <c r="B28" i="28"/>
  <c r="B15" i="16"/>
  <c r="B55" i="2"/>
  <c r="B26" i="28"/>
  <c r="B14" i="16"/>
  <c r="B24" i="28"/>
  <c r="B25" i="2"/>
  <c r="B16" i="28"/>
  <c r="B22" i="28"/>
  <c r="B24" i="2"/>
  <c r="B14" i="28"/>
  <c r="B33" i="2"/>
  <c r="B20" i="28"/>
  <c r="B32" i="28"/>
  <c r="B17" i="16"/>
  <c r="B30" i="28"/>
  <c r="B16" i="16"/>
  <c r="A24" i="2"/>
  <c r="A14" i="28"/>
  <c r="B18" i="28"/>
  <c r="B78" i="2"/>
  <c r="B34" i="28"/>
  <c r="B23" i="16"/>
  <c r="C20" i="12"/>
  <c r="C20" i="2"/>
  <c r="C21" i="2"/>
  <c r="C22" i="2"/>
  <c r="C39" i="2"/>
  <c r="C36" i="2"/>
  <c r="C50" i="2"/>
  <c r="C82" i="2"/>
  <c r="C13" i="2"/>
  <c r="C15" i="2"/>
  <c r="C19" i="8"/>
  <c r="B6" i="43" s="1"/>
  <c r="I15" i="14"/>
  <c r="B11" i="2"/>
  <c r="B44" i="2"/>
  <c r="B27" i="2"/>
  <c r="B56" i="2"/>
  <c r="J19" i="20"/>
  <c r="J28" i="20"/>
  <c r="B52" i="2"/>
  <c r="B74" i="2"/>
  <c r="B61" i="2"/>
  <c r="O15" i="14" l="1"/>
  <c r="O16" i="14" s="1"/>
  <c r="N15" i="14"/>
  <c r="N16" i="14" s="1"/>
  <c r="M15" i="14"/>
  <c r="M16" i="14" s="1"/>
  <c r="G70" i="43"/>
  <c r="S70" i="43"/>
  <c r="AG70" i="43"/>
  <c r="Q70" i="43"/>
  <c r="AE70" i="43"/>
  <c r="M70" i="43"/>
  <c r="AA70" i="43"/>
  <c r="K70" i="43"/>
  <c r="Y70" i="43"/>
  <c r="U70" i="43"/>
  <c r="AC70" i="43"/>
  <c r="W70" i="43"/>
  <c r="O70" i="43"/>
  <c r="B7" i="20"/>
  <c r="B6" i="40"/>
  <c r="C38" i="2"/>
  <c r="C16" i="2"/>
  <c r="E16" i="2" s="1"/>
  <c r="Q16" i="2" s="1"/>
  <c r="T16" i="2" s="1"/>
  <c r="O82" i="2"/>
  <c r="M82" i="2"/>
  <c r="K82" i="2"/>
  <c r="E13" i="2"/>
  <c r="Q13" i="2" s="1"/>
  <c r="T13" i="2" s="1"/>
  <c r="K22" i="2"/>
  <c r="E22" i="2"/>
  <c r="I22" i="2"/>
  <c r="M22" i="2"/>
  <c r="O22" i="2"/>
  <c r="G22" i="2"/>
  <c r="O21" i="2"/>
  <c r="K21" i="2"/>
  <c r="E21" i="2"/>
  <c r="M21" i="2"/>
  <c r="I21" i="2"/>
  <c r="G21" i="2"/>
  <c r="K20" i="2"/>
  <c r="I20" i="2"/>
  <c r="M20" i="2"/>
  <c r="O20" i="2"/>
  <c r="E20" i="2"/>
  <c r="G20" i="2"/>
  <c r="M39" i="2"/>
  <c r="E39" i="2"/>
  <c r="K39" i="2"/>
  <c r="I39" i="2"/>
  <c r="G39" i="2"/>
  <c r="E50" i="2"/>
  <c r="G50" i="2"/>
  <c r="M50" i="2"/>
  <c r="I50" i="2"/>
  <c r="K50" i="2"/>
  <c r="K36" i="2"/>
  <c r="E36" i="2"/>
  <c r="M36" i="2"/>
  <c r="I36" i="2"/>
  <c r="G36" i="2"/>
  <c r="E15" i="2"/>
  <c r="Q15" i="2" s="1"/>
  <c r="T15" i="2" s="1"/>
  <c r="C81" i="2"/>
  <c r="C47" i="2"/>
  <c r="C37" i="2"/>
  <c r="C19" i="10"/>
  <c r="J31" i="20"/>
  <c r="J32" i="20" s="1"/>
  <c r="J33" i="20" s="1"/>
  <c r="P16" i="14" l="1"/>
  <c r="AI70" i="43"/>
  <c r="E34" i="14"/>
  <c r="C14" i="2"/>
  <c r="E14" i="2" s="1"/>
  <c r="Q14" i="2" s="1"/>
  <c r="T14" i="2" s="1"/>
  <c r="C79" i="2"/>
  <c r="O79" i="2" s="1"/>
  <c r="C51" i="2"/>
  <c r="M51" i="2" s="1"/>
  <c r="Q82" i="2"/>
  <c r="T82" i="2" s="1"/>
  <c r="K81" i="2"/>
  <c r="M81" i="2"/>
  <c r="O81" i="2"/>
  <c r="Q22" i="2"/>
  <c r="T22" i="2" s="1"/>
  <c r="Q21" i="2"/>
  <c r="T21" i="2" s="1"/>
  <c r="Q20" i="2"/>
  <c r="T20" i="2" s="1"/>
  <c r="M47" i="2"/>
  <c r="K47" i="2"/>
  <c r="I47" i="2"/>
  <c r="G47" i="2"/>
  <c r="E47" i="2"/>
  <c r="Q36" i="2"/>
  <c r="T36" i="2" s="1"/>
  <c r="G38" i="2"/>
  <c r="M38" i="2"/>
  <c r="K38" i="2"/>
  <c r="E38" i="2"/>
  <c r="I38" i="2"/>
  <c r="Q50" i="2"/>
  <c r="T50" i="2" s="1"/>
  <c r="Q39" i="2"/>
  <c r="T39" i="2" s="1"/>
  <c r="C34" i="2"/>
  <c r="I37" i="2"/>
  <c r="K37" i="2"/>
  <c r="M37" i="2"/>
  <c r="G37" i="2"/>
  <c r="E37" i="2"/>
  <c r="E25" i="15"/>
  <c r="B6" i="1"/>
  <c r="E26" i="15"/>
  <c r="F29" i="1" s="1"/>
  <c r="I29" i="1" s="1"/>
  <c r="C45" i="2"/>
  <c r="C49" i="2"/>
  <c r="E19" i="15"/>
  <c r="F22" i="1" s="1"/>
  <c r="I22" i="1" s="1"/>
  <c r="B6" i="8"/>
  <c r="N37" i="14" l="1"/>
  <c r="N36" i="14"/>
  <c r="N35" i="14"/>
  <c r="F56" i="43"/>
  <c r="AE56" i="43" s="1"/>
  <c r="F28" i="1"/>
  <c r="I28" i="1" s="1"/>
  <c r="F18" i="1"/>
  <c r="I18" i="1" s="1"/>
  <c r="F48" i="43"/>
  <c r="C68" i="2"/>
  <c r="F57" i="43"/>
  <c r="C69" i="2"/>
  <c r="F58" i="43"/>
  <c r="C26" i="2"/>
  <c r="G26" i="2" s="1"/>
  <c r="B6" i="39"/>
  <c r="B6" i="14"/>
  <c r="B6" i="37"/>
  <c r="B6" i="35"/>
  <c r="B6" i="44" s="1"/>
  <c r="B6" i="10"/>
  <c r="B6" i="31"/>
  <c r="B6" i="30"/>
  <c r="G51" i="2"/>
  <c r="K51" i="2"/>
  <c r="K79" i="2"/>
  <c r="M79" i="2"/>
  <c r="I51" i="2"/>
  <c r="E51" i="2"/>
  <c r="Q81" i="2"/>
  <c r="T81" i="2" s="1"/>
  <c r="Q47" i="2"/>
  <c r="T47" i="2" s="1"/>
  <c r="C53" i="2"/>
  <c r="G34" i="2"/>
  <c r="I34" i="2"/>
  <c r="K34" i="2"/>
  <c r="E34" i="2"/>
  <c r="M34" i="2"/>
  <c r="Q37" i="2"/>
  <c r="T37" i="2" s="1"/>
  <c r="M49" i="2"/>
  <c r="I49" i="2"/>
  <c r="G49" i="2"/>
  <c r="K49" i="2"/>
  <c r="E49" i="2"/>
  <c r="I45" i="2"/>
  <c r="E45" i="2"/>
  <c r="G45" i="2"/>
  <c r="M45" i="2"/>
  <c r="K45" i="2"/>
  <c r="Q38" i="2"/>
  <c r="T38" i="2" s="1"/>
  <c r="B6" i="2"/>
  <c r="B6" i="33"/>
  <c r="B6" i="11"/>
  <c r="B6" i="12"/>
  <c r="E30" i="15"/>
  <c r="B6" i="7"/>
  <c r="B6" i="41" s="1"/>
  <c r="N38" i="14" l="1"/>
  <c r="F63" i="43"/>
  <c r="G56" i="43"/>
  <c r="AA56" i="43"/>
  <c r="U56" i="43"/>
  <c r="K56" i="43"/>
  <c r="S56" i="43"/>
  <c r="M56" i="43"/>
  <c r="O56" i="43"/>
  <c r="W56" i="43"/>
  <c r="Q56" i="43"/>
  <c r="Y56" i="43"/>
  <c r="AG56" i="43"/>
  <c r="AC56" i="43"/>
  <c r="G58" i="43"/>
  <c r="K58" i="43"/>
  <c r="AG58" i="43"/>
  <c r="AE58" i="43"/>
  <c r="AC58" i="43"/>
  <c r="Q58" i="43"/>
  <c r="O58" i="43"/>
  <c r="M58" i="43"/>
  <c r="U58" i="43"/>
  <c r="S58" i="43"/>
  <c r="Y58" i="43"/>
  <c r="AA58" i="43"/>
  <c r="W58" i="43"/>
  <c r="G63" i="43"/>
  <c r="S63" i="43"/>
  <c r="Q63" i="43"/>
  <c r="AG63" i="43"/>
  <c r="O63" i="43"/>
  <c r="AE63" i="43"/>
  <c r="M63" i="43"/>
  <c r="AC63" i="43"/>
  <c r="AA63" i="43"/>
  <c r="K63" i="43"/>
  <c r="Y63" i="43"/>
  <c r="W63" i="43"/>
  <c r="U63" i="43"/>
  <c r="G57" i="43"/>
  <c r="AG57" i="43"/>
  <c r="AE57" i="43"/>
  <c r="AC57" i="43"/>
  <c r="Q57" i="43"/>
  <c r="O57" i="43"/>
  <c r="M57" i="43"/>
  <c r="K57" i="43"/>
  <c r="U57" i="43"/>
  <c r="S57" i="43"/>
  <c r="AA57" i="43"/>
  <c r="Y57" i="43"/>
  <c r="W57" i="43"/>
  <c r="G48" i="43"/>
  <c r="W48" i="43"/>
  <c r="U48" i="43"/>
  <c r="S48" i="43"/>
  <c r="AG48" i="43"/>
  <c r="Q48" i="43"/>
  <c r="AE48" i="43"/>
  <c r="O48" i="43"/>
  <c r="AC48" i="43"/>
  <c r="M48" i="43"/>
  <c r="AA48" i="43"/>
  <c r="K48" i="43"/>
  <c r="Y48" i="43"/>
  <c r="C43" i="2"/>
  <c r="E26" i="2"/>
  <c r="Q26" i="2" s="1"/>
  <c r="T26" i="2" s="1"/>
  <c r="C57" i="2"/>
  <c r="E57" i="2" s="1"/>
  <c r="B6" i="36"/>
  <c r="Q51" i="2"/>
  <c r="T51" i="2" s="1"/>
  <c r="Q79" i="2"/>
  <c r="T79" i="2" s="1"/>
  <c r="B6" i="34"/>
  <c r="D24" i="28"/>
  <c r="Q49" i="2"/>
  <c r="T49" i="2" s="1"/>
  <c r="Q34" i="2"/>
  <c r="T34" i="2" s="1"/>
  <c r="E53" i="2"/>
  <c r="Q53" i="2" s="1"/>
  <c r="T53" i="2" s="1"/>
  <c r="Q45" i="2"/>
  <c r="T45" i="2" s="1"/>
  <c r="M69" i="2"/>
  <c r="I69" i="2"/>
  <c r="E69" i="2"/>
  <c r="G69" i="2"/>
  <c r="O69" i="2"/>
  <c r="K69" i="2"/>
  <c r="K68" i="2"/>
  <c r="M68" i="2"/>
  <c r="I68" i="2"/>
  <c r="G68" i="2"/>
  <c r="E68" i="2"/>
  <c r="O68" i="2"/>
  <c r="B6" i="32"/>
  <c r="F19" i="1"/>
  <c r="I19" i="1" s="1"/>
  <c r="C59" i="2"/>
  <c r="I34" i="14"/>
  <c r="I24" i="14"/>
  <c r="F34" i="1"/>
  <c r="I34" i="1" s="1"/>
  <c r="C65" i="2"/>
  <c r="C66" i="2"/>
  <c r="C67" i="2"/>
  <c r="I35" i="14" l="1"/>
  <c r="E18" i="4"/>
  <c r="AI56" i="43"/>
  <c r="AI48" i="43"/>
  <c r="AI57" i="43"/>
  <c r="AI58" i="43"/>
  <c r="AI63" i="43"/>
  <c r="D20" i="28"/>
  <c r="M43" i="2"/>
  <c r="E43" i="2"/>
  <c r="I43" i="2"/>
  <c r="G43" i="2"/>
  <c r="K43" i="2"/>
  <c r="I57" i="2"/>
  <c r="G57" i="2"/>
  <c r="C75" i="2"/>
  <c r="K75" i="2" s="1"/>
  <c r="C62" i="2"/>
  <c r="O62" i="2" s="1"/>
  <c r="Q69" i="2"/>
  <c r="T69" i="2" s="1"/>
  <c r="O65" i="2"/>
  <c r="I65" i="2"/>
  <c r="E65" i="2"/>
  <c r="G65" i="2"/>
  <c r="K65" i="2"/>
  <c r="M65" i="2"/>
  <c r="O67" i="2"/>
  <c r="I67" i="2"/>
  <c r="K67" i="2"/>
  <c r="E67" i="2"/>
  <c r="G67" i="2"/>
  <c r="M67" i="2"/>
  <c r="K66" i="2"/>
  <c r="G66" i="2"/>
  <c r="M66" i="2"/>
  <c r="I66" i="2"/>
  <c r="O66" i="2"/>
  <c r="E66" i="2"/>
  <c r="Q68" i="2"/>
  <c r="T68" i="2" s="1"/>
  <c r="I59" i="2"/>
  <c r="E59" i="2"/>
  <c r="G59" i="2"/>
  <c r="D16" i="28"/>
  <c r="C60" i="2"/>
  <c r="I41" i="14" l="1"/>
  <c r="E39" i="15" s="1"/>
  <c r="O35" i="14"/>
  <c r="O36" i="14"/>
  <c r="Q36" i="14" s="1"/>
  <c r="O37" i="14"/>
  <c r="Q37" i="14" s="1"/>
  <c r="F18" i="16"/>
  <c r="F44" i="1"/>
  <c r="F72" i="43"/>
  <c r="Q57" i="2"/>
  <c r="T57" i="2" s="1"/>
  <c r="Q43" i="2"/>
  <c r="T43" i="2" s="1"/>
  <c r="C58" i="2"/>
  <c r="G58" i="2" s="1"/>
  <c r="M75" i="2"/>
  <c r="G62" i="2"/>
  <c r="O75" i="2"/>
  <c r="I75" i="2"/>
  <c r="E62" i="2"/>
  <c r="K62" i="2"/>
  <c r="M62" i="2"/>
  <c r="I62" i="2"/>
  <c r="Q59" i="2"/>
  <c r="T59" i="2" s="1"/>
  <c r="I60" i="2"/>
  <c r="G60" i="2"/>
  <c r="E60" i="2"/>
  <c r="Q65" i="2"/>
  <c r="T65" i="2" s="1"/>
  <c r="Q66" i="2"/>
  <c r="T66" i="2" s="1"/>
  <c r="Q67" i="2"/>
  <c r="T67" i="2" s="1"/>
  <c r="C76" i="2"/>
  <c r="I20" i="1"/>
  <c r="C72" i="2"/>
  <c r="C73" i="2"/>
  <c r="Q35" i="14" l="1"/>
  <c r="Q38" i="14" s="1"/>
  <c r="O38" i="14"/>
  <c r="P38" i="14" s="1"/>
  <c r="I44" i="1"/>
  <c r="I45" i="1" s="1"/>
  <c r="E23" i="4" s="1"/>
  <c r="C20" i="39" s="1"/>
  <c r="G72" i="43"/>
  <c r="O72" i="43"/>
  <c r="AC72" i="43"/>
  <c r="M72" i="43"/>
  <c r="AA72" i="43"/>
  <c r="K72" i="43"/>
  <c r="Y72" i="43"/>
  <c r="W72" i="43"/>
  <c r="U72" i="43"/>
  <c r="S72" i="43"/>
  <c r="Q72" i="43"/>
  <c r="AG72" i="43"/>
  <c r="AE72" i="43"/>
  <c r="E58" i="2"/>
  <c r="I58" i="2"/>
  <c r="C64" i="2"/>
  <c r="K64" i="2" s="1"/>
  <c r="I32" i="1"/>
  <c r="Q75" i="2"/>
  <c r="T75" i="2" s="1"/>
  <c r="Q62" i="2"/>
  <c r="T62" i="2" s="1"/>
  <c r="C63" i="2"/>
  <c r="M63" i="2" s="1"/>
  <c r="Q60" i="2"/>
  <c r="T60" i="2" s="1"/>
  <c r="O76" i="2"/>
  <c r="M76" i="2"/>
  <c r="I76" i="2"/>
  <c r="K76" i="2"/>
  <c r="M72" i="2"/>
  <c r="G72" i="2"/>
  <c r="O72" i="2"/>
  <c r="E72" i="2"/>
  <c r="I72" i="2"/>
  <c r="K72" i="2"/>
  <c r="I73" i="2"/>
  <c r="O73" i="2"/>
  <c r="M73" i="2"/>
  <c r="E73" i="2"/>
  <c r="K73" i="2"/>
  <c r="G73" i="2"/>
  <c r="E15" i="4"/>
  <c r="C17" i="39" s="1"/>
  <c r="G17" i="39" s="1"/>
  <c r="C83" i="2" l="1"/>
  <c r="O83" i="2" s="1"/>
  <c r="AI72" i="43"/>
  <c r="K17" i="39"/>
  <c r="O20" i="39"/>
  <c r="Q58" i="2"/>
  <c r="T58" i="2" s="1"/>
  <c r="O17" i="39"/>
  <c r="M17" i="39"/>
  <c r="I17" i="39"/>
  <c r="E17" i="39"/>
  <c r="M20" i="39"/>
  <c r="K20" i="39"/>
  <c r="E20" i="39"/>
  <c r="I20" i="39"/>
  <c r="G20" i="39"/>
  <c r="I64" i="2"/>
  <c r="E64" i="2"/>
  <c r="O64" i="2"/>
  <c r="G64" i="2"/>
  <c r="M64" i="2"/>
  <c r="G63" i="2"/>
  <c r="O63" i="2"/>
  <c r="I63" i="2"/>
  <c r="E63" i="2"/>
  <c r="K63" i="2"/>
  <c r="Q72" i="2"/>
  <c r="T72" i="2" s="1"/>
  <c r="Q76" i="2"/>
  <c r="T76" i="2" s="1"/>
  <c r="Q73" i="2"/>
  <c r="T73" i="2" s="1"/>
  <c r="D34" i="28"/>
  <c r="F23" i="16"/>
  <c r="F15" i="16"/>
  <c r="D28" i="28"/>
  <c r="E16" i="4"/>
  <c r="C18" i="39" l="1"/>
  <c r="M18" i="39" s="1"/>
  <c r="K83" i="2"/>
  <c r="M83" i="2"/>
  <c r="Q20" i="39"/>
  <c r="T20" i="39" s="1"/>
  <c r="Q17" i="39"/>
  <c r="G18" i="39"/>
  <c r="I18" i="39"/>
  <c r="Q64" i="2"/>
  <c r="T64" i="2" s="1"/>
  <c r="Q63" i="2"/>
  <c r="T63" i="2" s="1"/>
  <c r="F16" i="16"/>
  <c r="D30" i="28"/>
  <c r="E18" i="39" l="1"/>
  <c r="K18" i="39"/>
  <c r="O18" i="39"/>
  <c r="Q83" i="2"/>
  <c r="T83" i="2" s="1"/>
  <c r="T17" i="39"/>
  <c r="Q18" i="39" l="1"/>
  <c r="T18" i="39" s="1"/>
  <c r="C48" i="2" l="1"/>
  <c r="E48" i="2" l="1"/>
  <c r="G48" i="2"/>
  <c r="I48" i="2"/>
  <c r="K48" i="2"/>
  <c r="M48" i="2"/>
  <c r="D22" i="28"/>
  <c r="Q48" i="2" l="1"/>
  <c r="T48" i="2" s="1"/>
  <c r="B68" i="2" l="1"/>
  <c r="B26" i="15"/>
  <c r="C12" i="2"/>
  <c r="E12" i="2" s="1"/>
  <c r="Q12" i="2" l="1"/>
  <c r="Q85" i="2" s="1"/>
  <c r="E85" i="2"/>
  <c r="E10" i="4"/>
  <c r="C85" i="2"/>
  <c r="D12" i="2" s="1"/>
  <c r="D85" i="2" s="1"/>
  <c r="T12" i="2" l="1"/>
  <c r="R85" i="2"/>
  <c r="D53" i="2"/>
  <c r="D46" i="2"/>
  <c r="D69" i="2"/>
  <c r="D21" i="2"/>
  <c r="D48" i="2"/>
  <c r="D71" i="2"/>
  <c r="D51" i="2"/>
  <c r="D13" i="2"/>
  <c r="D83" i="2"/>
  <c r="D81" i="2"/>
  <c r="D73" i="2"/>
  <c r="D37" i="2"/>
  <c r="D43" i="2"/>
  <c r="D42" i="2"/>
  <c r="D16" i="2"/>
  <c r="D47" i="2"/>
  <c r="D15" i="2"/>
  <c r="D57" i="2"/>
  <c r="D68" i="2"/>
  <c r="D63" i="2"/>
  <c r="D80" i="2"/>
  <c r="D35" i="2"/>
  <c r="D41" i="2"/>
  <c r="D40" i="2"/>
  <c r="D14" i="2"/>
  <c r="D58" i="2"/>
  <c r="D36" i="2"/>
  <c r="D67" i="2"/>
  <c r="D39" i="2"/>
  <c r="D72" i="2"/>
  <c r="D59" i="2"/>
  <c r="D79" i="2"/>
  <c r="D75" i="2"/>
  <c r="D64" i="2"/>
  <c r="D66" i="2"/>
  <c r="D70" i="2"/>
  <c r="D82" i="2"/>
  <c r="D20" i="2"/>
  <c r="D62" i="2"/>
  <c r="D50" i="2"/>
  <c r="D77" i="2"/>
  <c r="D26" i="2"/>
  <c r="D34" i="2"/>
  <c r="D49" i="2"/>
  <c r="D22" i="2"/>
  <c r="D76" i="2"/>
  <c r="D45" i="2"/>
  <c r="D60" i="2"/>
  <c r="D38" i="2"/>
  <c r="D65" i="2"/>
  <c r="F10" i="16"/>
  <c r="E10" i="16" s="1"/>
  <c r="C12" i="39"/>
  <c r="D10" i="28"/>
  <c r="F85" i="2"/>
  <c r="E86" i="2"/>
  <c r="G12" i="39" l="1"/>
  <c r="E12" i="39"/>
  <c r="F86" i="2"/>
  <c r="Q12" i="39" l="1"/>
  <c r="C19" i="2"/>
  <c r="G19" i="2" l="1"/>
  <c r="G85" i="2" s="1"/>
  <c r="D19" i="2"/>
  <c r="I19" i="2"/>
  <c r="I85" i="2" s="1"/>
  <c r="J85" i="2" s="1"/>
  <c r="E19" i="2"/>
  <c r="M19" i="2"/>
  <c r="M85" i="2" s="1"/>
  <c r="N85" i="2" s="1"/>
  <c r="K19" i="2"/>
  <c r="K85" i="2" s="1"/>
  <c r="L85" i="2" s="1"/>
  <c r="O19" i="2"/>
  <c r="O85" i="2" s="1"/>
  <c r="P85" i="2" s="1"/>
  <c r="I15" i="1"/>
  <c r="Q19" i="2" l="1"/>
  <c r="T19" i="2" s="1"/>
  <c r="E12" i="4"/>
  <c r="H85" i="2"/>
  <c r="H86" i="2" s="1"/>
  <c r="J86" i="2" s="1"/>
  <c r="L86" i="2" s="1"/>
  <c r="N86" i="2" s="1"/>
  <c r="P86" i="2" s="1"/>
  <c r="G86" i="2"/>
  <c r="I86" i="2" s="1"/>
  <c r="K86" i="2" s="1"/>
  <c r="M86" i="2" s="1"/>
  <c r="O86" i="2" s="1"/>
  <c r="C14" i="39" l="1"/>
  <c r="D12" i="28"/>
  <c r="F12" i="16"/>
  <c r="O14" i="39" l="1"/>
  <c r="D38" i="28"/>
  <c r="E14" i="39"/>
  <c r="G14" i="39"/>
  <c r="I14" i="39"/>
  <c r="M14" i="39"/>
  <c r="K14" i="39"/>
  <c r="Q14" i="39" l="1"/>
  <c r="C26" i="28"/>
  <c r="C34" i="28"/>
  <c r="I56" i="28"/>
  <c r="C24" i="28"/>
  <c r="C16" i="28"/>
  <c r="C30" i="28"/>
  <c r="C22" i="28"/>
  <c r="C10" i="28"/>
  <c r="C38" i="28" s="1"/>
  <c r="C20" i="28"/>
  <c r="C14" i="28"/>
  <c r="C28" i="28"/>
  <c r="C12" i="28"/>
  <c r="H57" i="28" l="1"/>
  <c r="G56" i="28"/>
  <c r="T14" i="39"/>
  <c r="I25" i="28" l="1"/>
  <c r="O17" i="28"/>
  <c r="G29" i="28"/>
  <c r="K29" i="28"/>
  <c r="M31" i="28"/>
  <c r="O21" i="28"/>
  <c r="M21" i="28"/>
  <c r="K11" i="28"/>
  <c r="M17" i="28"/>
  <c r="O25" i="28"/>
  <c r="G35" i="28"/>
  <c r="K21" i="28"/>
  <c r="K17" i="28"/>
  <c r="K31" i="28"/>
  <c r="G17" i="28"/>
  <c r="K35" i="28"/>
  <c r="G57" i="28"/>
  <c r="G25" i="28"/>
  <c r="I31" i="28"/>
  <c r="M25" i="28"/>
  <c r="I11" i="28"/>
  <c r="M11" i="28"/>
  <c r="O31" i="28"/>
  <c r="G21" i="28"/>
  <c r="I21" i="28"/>
  <c r="I17" i="28"/>
  <c r="G23" i="28"/>
  <c r="K25" i="28"/>
  <c r="O29" i="28"/>
  <c r="G31" i="28"/>
  <c r="O11" i="28"/>
  <c r="I35" i="28"/>
  <c r="M23" i="28"/>
  <c r="M29" i="28"/>
  <c r="I23" i="28"/>
  <c r="O35" i="28"/>
  <c r="K23" i="28"/>
  <c r="O23" i="28"/>
  <c r="I29" i="28"/>
  <c r="G11" i="28"/>
  <c r="M35" i="28"/>
  <c r="O13" i="28"/>
  <c r="K13" i="28"/>
  <c r="M13" i="28"/>
  <c r="G13" i="28"/>
  <c r="I13" i="28"/>
  <c r="L23" i="28" l="1"/>
  <c r="J23" i="28"/>
  <c r="L35" i="28"/>
  <c r="J21" i="28"/>
  <c r="N11" i="28"/>
  <c r="J17" i="28"/>
  <c r="H23" i="28"/>
  <c r="L11" i="28"/>
  <c r="F17" i="28"/>
  <c r="P17" i="28" s="1"/>
  <c r="R17" i="28" s="1"/>
  <c r="N23" i="28"/>
  <c r="H17" i="28"/>
  <c r="L17" i="28"/>
  <c r="N21" i="28"/>
  <c r="I57" i="28"/>
  <c r="J35" i="28"/>
  <c r="L21" i="28"/>
  <c r="N25" i="28"/>
  <c r="H29" i="28"/>
  <c r="F31" i="28"/>
  <c r="P31" i="28" s="1"/>
  <c r="R31" i="28" s="1"/>
  <c r="H35" i="28"/>
  <c r="F21" i="28"/>
  <c r="P21" i="28" s="1"/>
  <c r="R21" i="28" s="1"/>
  <c r="F11" i="28"/>
  <c r="P11" i="28" s="1"/>
  <c r="R11" i="28" s="1"/>
  <c r="L25" i="28"/>
  <c r="N17" i="28"/>
  <c r="H25" i="28"/>
  <c r="N31" i="28"/>
  <c r="J25" i="28"/>
  <c r="N35" i="28"/>
  <c r="J11" i="28"/>
  <c r="J31" i="28"/>
  <c r="L31" i="28"/>
  <c r="F29" i="28"/>
  <c r="P29" i="28" s="1"/>
  <c r="R29" i="28" s="1"/>
  <c r="F25" i="28"/>
  <c r="P25" i="28" s="1"/>
  <c r="R25" i="28" s="1"/>
  <c r="F23" i="28"/>
  <c r="P23" i="28" s="1"/>
  <c r="R23" i="28" s="1"/>
  <c r="J29" i="28"/>
  <c r="L29" i="28"/>
  <c r="H31" i="28"/>
  <c r="H11" i="28"/>
  <c r="F35" i="28"/>
  <c r="H21" i="28"/>
  <c r="N29" i="28"/>
  <c r="H13" i="28"/>
  <c r="N13" i="28"/>
  <c r="F13" i="28"/>
  <c r="P13" i="28" s="1"/>
  <c r="R13" i="28" s="1"/>
  <c r="J13" i="28"/>
  <c r="L13" i="28"/>
  <c r="P35" i="28" l="1"/>
  <c r="R35" i="28" l="1"/>
  <c r="C28" i="2" l="1"/>
  <c r="G28" i="2" l="1"/>
  <c r="I28" i="2"/>
  <c r="E28" i="2"/>
  <c r="D28" i="2"/>
  <c r="Q28" i="2" l="1"/>
  <c r="T28" i="2" s="1"/>
  <c r="C30" i="2"/>
  <c r="C32" i="2"/>
  <c r="C31" i="2"/>
  <c r="C29" i="2"/>
  <c r="G31" i="2" l="1"/>
  <c r="E31" i="2"/>
  <c r="G29" i="2"/>
  <c r="D29" i="2"/>
  <c r="I29" i="2"/>
  <c r="E29" i="2"/>
  <c r="D32" i="2"/>
  <c r="E32" i="2"/>
  <c r="I32" i="2"/>
  <c r="G32" i="2"/>
  <c r="G30" i="2"/>
  <c r="I30" i="2"/>
  <c r="D30" i="2"/>
  <c r="E30" i="2"/>
  <c r="D31" i="2"/>
  <c r="I31" i="2"/>
  <c r="Q32" i="2" l="1"/>
  <c r="T32" i="2" s="1"/>
  <c r="Q31" i="2"/>
  <c r="T31" i="2" s="1"/>
  <c r="Q30" i="2"/>
  <c r="T30" i="2" s="1"/>
  <c r="Q29" i="2"/>
  <c r="T29" i="2" s="1"/>
  <c r="D18" i="28" l="1"/>
  <c r="E18" i="16" l="1"/>
  <c r="D18" i="16" s="1"/>
  <c r="E19" i="16"/>
  <c r="D19" i="16" s="1"/>
  <c r="E21" i="16"/>
  <c r="D21" i="16" s="1"/>
  <c r="E20" i="16"/>
  <c r="D20" i="16" s="1"/>
  <c r="E16" i="16"/>
  <c r="E12" i="16"/>
  <c r="E15" i="16"/>
  <c r="E23" i="16"/>
  <c r="D19" i="39"/>
  <c r="M19" i="28"/>
  <c r="L19" i="28"/>
  <c r="J19" i="28"/>
  <c r="K19" i="28"/>
  <c r="C18" i="28"/>
  <c r="O19" i="28"/>
  <c r="H19" i="28"/>
  <c r="F19" i="28"/>
  <c r="G19" i="28"/>
  <c r="I19" i="28"/>
  <c r="N19" i="28"/>
  <c r="S19" i="12"/>
  <c r="P19" i="28" l="1"/>
  <c r="D12" i="16" l="1"/>
  <c r="D10" i="16"/>
  <c r="D23" i="16"/>
  <c r="D16" i="16"/>
  <c r="D15" i="16"/>
  <c r="R19" i="28"/>
  <c r="I38" i="1" l="1"/>
  <c r="E22" i="4" s="1"/>
  <c r="F22" i="16" l="1"/>
  <c r="E17" i="4"/>
  <c r="I39" i="1"/>
  <c r="I46" i="1" s="1"/>
  <c r="J17" i="1" l="1"/>
  <c r="J14" i="1"/>
  <c r="F13" i="15" s="1"/>
  <c r="I9" i="41"/>
  <c r="I11" i="41" s="1"/>
  <c r="J10" i="1"/>
  <c r="C19" i="39"/>
  <c r="D32" i="28"/>
  <c r="E25" i="4"/>
  <c r="E22" i="16"/>
  <c r="F26" i="16"/>
  <c r="J46" i="1"/>
  <c r="F22" i="4" l="1"/>
  <c r="F21" i="4"/>
  <c r="F23" i="4"/>
  <c r="D20" i="39" s="1"/>
  <c r="F10" i="4"/>
  <c r="F18" i="4"/>
  <c r="F15" i="4"/>
  <c r="D17" i="39" s="1"/>
  <c r="F19" i="4"/>
  <c r="F16" i="4"/>
  <c r="D18" i="39" s="1"/>
  <c r="F12" i="4"/>
  <c r="F20" i="4"/>
  <c r="C32" i="28"/>
  <c r="I33" i="28"/>
  <c r="I38" i="28" s="1"/>
  <c r="K33" i="28"/>
  <c r="K38" i="28" s="1"/>
  <c r="O33" i="28"/>
  <c r="O38" i="28" s="1"/>
  <c r="M33" i="28"/>
  <c r="M38" i="28" s="1"/>
  <c r="G33" i="28"/>
  <c r="G38" i="28" s="1"/>
  <c r="G39" i="28" s="1"/>
  <c r="I39" i="28" s="1"/>
  <c r="K39" i="28" s="1"/>
  <c r="M39" i="28" s="1"/>
  <c r="O39" i="28" s="1"/>
  <c r="L33" i="28"/>
  <c r="L38" i="28" s="1"/>
  <c r="H33" i="28"/>
  <c r="H38" i="28" s="1"/>
  <c r="H40" i="28" s="1"/>
  <c r="N33" i="28"/>
  <c r="N38" i="28" s="1"/>
  <c r="N40" i="28" s="1"/>
  <c r="F33" i="28"/>
  <c r="J33" i="28"/>
  <c r="J38" i="28" s="1"/>
  <c r="J40" i="28" s="1"/>
  <c r="D22" i="16"/>
  <c r="D26" i="16" s="1"/>
  <c r="E26" i="16"/>
  <c r="J9" i="16"/>
  <c r="I26" i="16"/>
  <c r="G19" i="39"/>
  <c r="G22" i="39" s="1"/>
  <c r="H22" i="39" s="1"/>
  <c r="O19" i="39"/>
  <c r="O22" i="39" s="1"/>
  <c r="P22" i="39" s="1"/>
  <c r="K19" i="39"/>
  <c r="K22" i="39" s="1"/>
  <c r="M19" i="39"/>
  <c r="M22" i="39" s="1"/>
  <c r="I19" i="39"/>
  <c r="I22" i="39" s="1"/>
  <c r="J22" i="39" s="1"/>
  <c r="E19" i="39"/>
  <c r="C22" i="39"/>
  <c r="Q19" i="39" l="1"/>
  <c r="E22" i="39"/>
  <c r="L22" i="39"/>
  <c r="L10" i="16"/>
  <c r="L9" i="16"/>
  <c r="P33" i="28"/>
  <c r="F38" i="28"/>
  <c r="F25" i="4"/>
  <c r="D12" i="39"/>
  <c r="N22" i="39"/>
  <c r="L40" i="28"/>
  <c r="I14" i="41"/>
  <c r="D14" i="39"/>
  <c r="F39" i="28" l="1"/>
  <c r="H39" i="28" s="1"/>
  <c r="J39" i="28" s="1"/>
  <c r="L39" i="28" s="1"/>
  <c r="N39" i="28" s="1"/>
  <c r="F40" i="28"/>
  <c r="P40" i="28" s="1"/>
  <c r="R33" i="28"/>
  <c r="P38" i="28"/>
  <c r="E23" i="39"/>
  <c r="F22" i="39"/>
  <c r="D22" i="39"/>
  <c r="T19" i="39"/>
  <c r="Q22" i="39"/>
  <c r="R22" i="39" s="1"/>
  <c r="F23" i="39" l="1"/>
  <c r="H23" i="39" s="1"/>
  <c r="J23" i="39" s="1"/>
  <c r="L23" i="39" s="1"/>
  <c r="N23" i="39" s="1"/>
  <c r="P23" i="39" s="1"/>
  <c r="G23" i="39"/>
  <c r="I23" i="39" s="1"/>
  <c r="K23" i="39" s="1"/>
  <c r="M23" i="39" s="1"/>
  <c r="O23" i="39" s="1"/>
</calcChain>
</file>

<file path=xl/sharedStrings.xml><?xml version="1.0" encoding="utf-8"?>
<sst xmlns="http://schemas.openxmlformats.org/spreadsheetml/2006/main" count="1506" uniqueCount="732">
  <si>
    <t>ITEM</t>
  </si>
  <si>
    <t>DESCRIÇÃO DO ITEM</t>
  </si>
  <si>
    <t>UNID</t>
  </si>
  <si>
    <t>QUANT</t>
  </si>
  <si>
    <t>(%)</t>
  </si>
  <si>
    <t>m</t>
  </si>
  <si>
    <t>m²</t>
  </si>
  <si>
    <t>TOTAL DO ITEM</t>
  </si>
  <si>
    <t xml:space="preserve">Obra: </t>
  </si>
  <si>
    <t>CRONOGRAMA FISICO FINANCEIRO</t>
  </si>
  <si>
    <t>DESCRIÇÃO / ETAPA</t>
  </si>
  <si>
    <t>PERIODO</t>
  </si>
  <si>
    <t>À Executar</t>
  </si>
  <si>
    <t>TOTAL</t>
  </si>
  <si>
    <t>Valor(R$)</t>
  </si>
  <si>
    <t>%</t>
  </si>
  <si>
    <t>Valor (R$)</t>
  </si>
  <si>
    <t>Valor Do Mês</t>
  </si>
  <si>
    <t>Valor Acomulado</t>
  </si>
  <si>
    <t>RESUMO SINTÉTICO</t>
  </si>
  <si>
    <t>DESCRIÇÃO DOS SERVIÇOS</t>
  </si>
  <si>
    <t>VALOR ÍTEM</t>
  </si>
  <si>
    <t xml:space="preserve">Local: </t>
  </si>
  <si>
    <t>1.1</t>
  </si>
  <si>
    <t>2.1</t>
  </si>
  <si>
    <t>3.1</t>
  </si>
  <si>
    <t>3.2</t>
  </si>
  <si>
    <t>3.3</t>
  </si>
  <si>
    <t>3.4</t>
  </si>
  <si>
    <t>3.5</t>
  </si>
  <si>
    <t>SERVIÇOS PRELIMINARES</t>
  </si>
  <si>
    <t>m³</t>
  </si>
  <si>
    <t>2.2</t>
  </si>
  <si>
    <t>2.3</t>
  </si>
  <si>
    <t>2.4</t>
  </si>
  <si>
    <t>M²</t>
  </si>
  <si>
    <t>74209/001</t>
  </si>
  <si>
    <t>2.5</t>
  </si>
  <si>
    <t>3.1.1</t>
  </si>
  <si>
    <t>3.3.1</t>
  </si>
  <si>
    <t>3.4.1</t>
  </si>
  <si>
    <t>3.5.1</t>
  </si>
  <si>
    <t>PAVIMENTAÇÃO</t>
  </si>
  <si>
    <t>ÁREAS:</t>
  </si>
  <si>
    <t>1.2</t>
  </si>
  <si>
    <t>1.3</t>
  </si>
  <si>
    <t>2.6</t>
  </si>
  <si>
    <t>3.6</t>
  </si>
  <si>
    <t>OBRAS COMPLEMENTARES DE PAVIMENTAÇÃO</t>
  </si>
  <si>
    <t>UND</t>
  </si>
  <si>
    <t>DRENAGEM DE ÁGUAS PLUVIAIS</t>
  </si>
  <si>
    <t>ELEMENTOS AUXILIARES</t>
  </si>
  <si>
    <t>SINALIZAÇÃO</t>
  </si>
  <si>
    <t>74221/001</t>
  </si>
  <si>
    <t>SINALIZACAO DE TRANSITO - NOTURNA</t>
  </si>
  <si>
    <t>ESTADO DE MATO GROSSO</t>
  </si>
  <si>
    <t>OBRA:</t>
  </si>
  <si>
    <t>LOCAL:</t>
  </si>
  <si>
    <t>PROPR.:</t>
  </si>
  <si>
    <t>ÁREA (M²):</t>
  </si>
  <si>
    <t>BDI:</t>
  </si>
  <si>
    <t>TABELA:</t>
  </si>
  <si>
    <t>Item</t>
  </si>
  <si>
    <t>Rua/Avenida</t>
  </si>
  <si>
    <t>Área (m²)</t>
  </si>
  <si>
    <t>Limpa-Rodas</t>
  </si>
  <si>
    <t>Área Total (m²)</t>
  </si>
  <si>
    <t>Código</t>
  </si>
  <si>
    <t>Quant.</t>
  </si>
  <si>
    <t>Área Parcial (m²)</t>
  </si>
  <si>
    <t>Totais Parciais - m²</t>
  </si>
  <si>
    <t>Total Geral - m²</t>
  </si>
  <si>
    <t>Lado Direito</t>
  </si>
  <si>
    <t>Totais Parciais - m</t>
  </si>
  <si>
    <t>MEMÓRIA DE CÁLCULO</t>
  </si>
  <si>
    <t>1.0</t>
  </si>
  <si>
    <t>Tubulação D=40cm</t>
  </si>
  <si>
    <t>Tubulação D=60cm</t>
  </si>
  <si>
    <t>Dissipador de energia</t>
  </si>
  <si>
    <t>und</t>
  </si>
  <si>
    <t>2.0</t>
  </si>
  <si>
    <t>Tubulação D=80cm</t>
  </si>
  <si>
    <t>Tubulação D=100cm</t>
  </si>
  <si>
    <t>Tubulação D=120cm</t>
  </si>
  <si>
    <t>Tubulação D=150cm</t>
  </si>
  <si>
    <t>Boca de lobo simples</t>
  </si>
  <si>
    <t>3.0</t>
  </si>
  <si>
    <t>4.0</t>
  </si>
  <si>
    <t>RUA</t>
  </si>
  <si>
    <t>TUBULAÇÃO</t>
  </si>
  <si>
    <t>BOCA DE LOBO</t>
  </si>
  <si>
    <t>CAIXA DE PASSAGEM</t>
  </si>
  <si>
    <t>DISSIPADOR</t>
  </si>
  <si>
    <t>Ø 40cm</t>
  </si>
  <si>
    <t>Ø 60cm</t>
  </si>
  <si>
    <t>Ø 80cm</t>
  </si>
  <si>
    <t>Ø 100cm</t>
  </si>
  <si>
    <t>Ø 120cm</t>
  </si>
  <si>
    <t>SIMP</t>
  </si>
  <si>
    <t>TOTAL PARCIAL - M</t>
  </si>
  <si>
    <t>TOTAL GERAL - M</t>
  </si>
  <si>
    <t>Lado esquerdo</t>
  </si>
  <si>
    <t>PLACA DE OBRA EM CHAPA DE ACO GALVANIZADO</t>
  </si>
  <si>
    <t>SERVIÇOS PRELIMINARES GERAL</t>
  </si>
  <si>
    <t>REGULARIZACAO E COMPACTACAO DE SUBLEITO ATE 20 CM DE ESPESSURA</t>
  </si>
  <si>
    <t>SINALIZAÇÃO HORIZONTAL E VERTICAL</t>
  </si>
  <si>
    <t>1-MEMORIAL DE CÁLCULO DO FORNECIMENTO E IMPLANTAÇÃO DE PLACAS DE SINALIZAÇÃO</t>
  </si>
  <si>
    <t>Área =</t>
  </si>
  <si>
    <t>x</t>
  </si>
  <si>
    <t>ud</t>
  </si>
  <si>
    <t>=</t>
  </si>
  <si>
    <t>1.4</t>
  </si>
  <si>
    <t>A-32b (faixa ped.)</t>
  </si>
  <si>
    <t>Lado: 0,50x0,50m</t>
  </si>
  <si>
    <t>2-SUPORTE E TRAVESSAS PARA FIXAÇÃO DAS PLACAS</t>
  </si>
  <si>
    <t>PLACAS DE SINALIZAÇÃO</t>
  </si>
  <si>
    <t>PLACAS DE INDICAÇÃO D RUA</t>
  </si>
  <si>
    <t>3-TINTA ACRILICA PARA PINTURA VIÁRIA</t>
  </si>
  <si>
    <t>LISTRAS "SECCIONADAS" DE 4M</t>
  </si>
  <si>
    <t>Largura</t>
  </si>
  <si>
    <t>Comp.</t>
  </si>
  <si>
    <t>Quant</t>
  </si>
  <si>
    <t>Total</t>
  </si>
  <si>
    <t>FAIXAS DE PEDRESTRES</t>
  </si>
  <si>
    <t>Comprim</t>
  </si>
  <si>
    <t>Nr. Bloco</t>
  </si>
  <si>
    <t>FAIXAS D BORDO</t>
  </si>
  <si>
    <t>Comprim.</t>
  </si>
  <si>
    <t xml:space="preserve">TOTAL </t>
  </si>
  <si>
    <t>RESUMO</t>
  </si>
  <si>
    <t>PREÇO UNIT COM BDI</t>
  </si>
  <si>
    <t>PLANILHA ORÇAMENTÁRIA</t>
  </si>
  <si>
    <t>MOVIMENTO DE TERRA</t>
  </si>
  <si>
    <t>FORNECIMENTO E ASSENTAMENTO DE TUBOS</t>
  </si>
  <si>
    <t>TERRAPLANAGEM</t>
  </si>
  <si>
    <t>SINALIZAÇÃO VIÁRIA</t>
  </si>
  <si>
    <t>TABELA REFERÊNCIA</t>
  </si>
  <si>
    <t>DISCRIMINAÇÃO</t>
  </si>
  <si>
    <t>COMPR</t>
  </si>
  <si>
    <t>ALT</t>
  </si>
  <si>
    <t>LARG</t>
  </si>
  <si>
    <t>74205/001</t>
  </si>
  <si>
    <t>ESCAVACAO MECANICA DE MATERIAL 1A. CATEGORIA, PROVENIENTE DE CORTE DE SUBLEITO (C/TRATOR ESTEIRAS 160HP)</t>
  </si>
  <si>
    <t>volume da base+sub-base</t>
  </si>
  <si>
    <t>π x r²</t>
  </si>
  <si>
    <t>Ver planilha de sinalização</t>
  </si>
  <si>
    <r>
      <t>R-05  (</t>
    </r>
    <r>
      <rPr>
        <sz val="10"/>
        <rFont val="Calibri"/>
        <family val="2"/>
      </rPr>
      <t>∆</t>
    </r>
    <r>
      <rPr>
        <sz val="10"/>
        <rFont val="Arial"/>
        <family val="2"/>
      </rPr>
      <t>) (Nome das Ruas)</t>
    </r>
  </si>
  <si>
    <t>(Extensão do meio fio)</t>
  </si>
  <si>
    <t>TOTAL DA PLANILHA</t>
  </si>
  <si>
    <t>3.2.1</t>
  </si>
  <si>
    <t>3.2.2</t>
  </si>
  <si>
    <t>3.2.3</t>
  </si>
  <si>
    <t>3.3.2</t>
  </si>
  <si>
    <t>QCI - QUADRO DE COMPOSIÇÃO DO INVESTIMENTO</t>
  </si>
  <si>
    <t>Contrapartida</t>
  </si>
  <si>
    <t>COMPOSIÇÃO DE BDI</t>
  </si>
  <si>
    <t>ITENS COMPONENTE DO BDI</t>
  </si>
  <si>
    <t>RISCO</t>
  </si>
  <si>
    <t>DESPESAS FINANCEIRAS</t>
  </si>
  <si>
    <t>ADMINISTRAÇÃO CENTRAL</t>
  </si>
  <si>
    <t>LUCRO</t>
  </si>
  <si>
    <t>4.1</t>
  </si>
  <si>
    <t>4.2</t>
  </si>
  <si>
    <t>4.3</t>
  </si>
  <si>
    <t>4.4</t>
  </si>
  <si>
    <t>4.5</t>
  </si>
  <si>
    <t>4.6</t>
  </si>
  <si>
    <t>4.7</t>
  </si>
  <si>
    <t>4.8</t>
  </si>
  <si>
    <t>5.0</t>
  </si>
  <si>
    <t>EXTENSÃO</t>
  </si>
  <si>
    <t>Caixa Coletora</t>
  </si>
  <si>
    <t>ROBSON DARCIO SOUSA</t>
  </si>
  <si>
    <t>POÇO DE VISITA (Ø60)</t>
  </si>
  <si>
    <t>POÇO DE VISITA (Ø80)</t>
  </si>
  <si>
    <t>3.9</t>
  </si>
  <si>
    <t>Poço de Visita - Coletor de Ø80</t>
  </si>
  <si>
    <t>Poço de Visita - Coletor de Ø60</t>
  </si>
  <si>
    <t>4.9</t>
  </si>
  <si>
    <t>TRATAMENTO SUPERFICIAL DUPLO - TSD, COM EMULSAO RR-2C</t>
  </si>
  <si>
    <t>CAPA SELANTE COM EMULSAO RR-2C, INCLUSO APLICACAO E COMPACTACAO</t>
  </si>
  <si>
    <t xml:space="preserve">Equipamentos                  </t>
  </si>
  <si>
    <t xml:space="preserve">Unid </t>
  </si>
  <si>
    <t xml:space="preserve">Qtde </t>
  </si>
  <si>
    <t xml:space="preserve">Custo Unit </t>
  </si>
  <si>
    <t xml:space="preserve">Custo Total </t>
  </si>
  <si>
    <t>Cód. Sinapi</t>
  </si>
  <si>
    <t>CAMINHÃO BASCULANTE 204 CV (VU=7 ANOS/14.000H) - CHP DIURNO</t>
  </si>
  <si>
    <t>CHP</t>
  </si>
  <si>
    <t>ROLO COMPACTADOR DE PNEUS ESTATICO, PRESSÃO VARIÁVEL, POTENCIA 11 HP - PESO SEM/COM LASTRO 9,5/22,4T</t>
  </si>
  <si>
    <t>CHI</t>
  </si>
  <si>
    <t>DISTRIBUIDOR DE BETUME 6000L - 56CV - SOB PRESSÃO MONTADO SOBRE CHASSIS DE CAMINHÃO</t>
  </si>
  <si>
    <t>DISTRIBUIDOR DE BETUME 6000L - 56CV - SOB PRESSÃO MONTADO SOBRE CHASSIS DE CAMINHÃO - MANUTENÇÃO</t>
  </si>
  <si>
    <t>H</t>
  </si>
  <si>
    <t>DISTRIBUIDOR DE AGREGADOS AUTROPELIDO, CAP 3 M³, A DISEL, 6CC</t>
  </si>
  <si>
    <t xml:space="preserve">Total de equipamentos                                                               </t>
  </si>
  <si>
    <t xml:space="preserve">Mao de Obra                   </t>
  </si>
  <si>
    <t xml:space="preserve">H     </t>
  </si>
  <si>
    <t xml:space="preserve">Total de mão de obra                                                                 </t>
  </si>
  <si>
    <t xml:space="preserve">Material                      </t>
  </si>
  <si>
    <t>EMULSÃO ASFÁLTICA CATIÔNICA RR-2C P/ USO EM PAVIMENTAÇÃO ASFÁLTICA</t>
  </si>
  <si>
    <t xml:space="preserve">KG    </t>
  </si>
  <si>
    <t xml:space="preserve">M3    </t>
  </si>
  <si>
    <t xml:space="preserve">Total de material                                                            </t>
  </si>
  <si>
    <t xml:space="preserve">Preco de Custo                                                        </t>
  </si>
  <si>
    <t xml:space="preserve">Bonificacao                                                           </t>
  </si>
  <si>
    <t xml:space="preserve">Preco de Venda                                                        </t>
  </si>
  <si>
    <t>COMPACTADOR DE PNEUS AUTO-PROPULSOR DIESEL 76HP C/7 PNEUS-CI- PESO 5,5/20T INCL OPERADOR</t>
  </si>
  <si>
    <t>ESPALHADOR AGREG REBOCAVEL CAPAC RASA 1,3M3 PESO 860KG (CP) DIAM ROLO 127MM (5") - EXCL OPERADOR</t>
  </si>
  <si>
    <t>TRATOR DE PNEUS MOTOR DIESEL 61CV INCL OPERADOR (CP)</t>
  </si>
  <si>
    <t>DISTRIBUIDOR BETUME SOB PRESSAO GAS (CP) SOBRE CHASSIS CAMINHAO - INCL ESTE C/MOTORISTA</t>
  </si>
  <si>
    <t>INSTALACAO DE AQUECIMENTO E ARMAZENAMENTO DE ASFALTO (CP) EM 2 TANQUES DE 30000L CADA - INCL OPERADOR</t>
  </si>
  <si>
    <t>área de pavimentação</t>
  </si>
  <si>
    <t>PAVIMENTAÇÃO EM TSD</t>
  </si>
  <si>
    <t>Total Geral  - m</t>
  </si>
  <si>
    <t>R-01 (Pare)</t>
  </si>
  <si>
    <t>Lado=0,21m / Ø0,50m</t>
  </si>
  <si>
    <t>FAIXA DE RETENÇÃO</t>
  </si>
  <si>
    <t>LINHA DE APROXIMAÇÃO (AMARELA/BRANCA)</t>
  </si>
  <si>
    <t>ÁREA(m²)</t>
  </si>
  <si>
    <t>LETREIRO "PARE"</t>
  </si>
  <si>
    <t>PAVIMENTAÇÃO ASFÁLTICA E DRENAGEM DE VIAS PÚBLICAS</t>
  </si>
  <si>
    <t>3.6.1</t>
  </si>
  <si>
    <t>3.9.1</t>
  </si>
  <si>
    <t xml:space="preserve">QUADRO DEMONSTRATIVO DE PAVIMENTAÇÃO </t>
  </si>
  <si>
    <t xml:space="preserve">Área da terraplenagem do pav. </t>
  </si>
  <si>
    <t>Ver Quantitativo de Transporte (Brita)</t>
  </si>
  <si>
    <t>Ver Quantitativo de Transporte (CM30 + RR-2C)</t>
  </si>
  <si>
    <t>ENSAIOS DE BASE ESTABILIZADA GRANULOMETRICAMENTE</t>
  </si>
  <si>
    <t>ENSAIO DE VISCOSIDADE SAYBOLT - FUROL - MATERIAL BETUMINOSO</t>
  </si>
  <si>
    <t>74022/002</t>
  </si>
  <si>
    <t>1.5</t>
  </si>
  <si>
    <t>ENSAIO DE PENETRACAO - MATERIAL BETUMINOSO</t>
  </si>
  <si>
    <t>74022/001</t>
  </si>
  <si>
    <t>POÇO DE VISITA (Ø100)</t>
  </si>
  <si>
    <t>DUPLA</t>
  </si>
  <si>
    <t>Poço de Visita - Coletor de Ø100</t>
  </si>
  <si>
    <t>2.7</t>
  </si>
  <si>
    <t>2.8</t>
  </si>
  <si>
    <t>txkm</t>
  </si>
  <si>
    <t>3.3.3</t>
  </si>
  <si>
    <t>CREA 120.263.916-0</t>
  </si>
  <si>
    <t>PERIMETRO URBANO</t>
  </si>
  <si>
    <t>6.0</t>
  </si>
  <si>
    <t>QUANT.</t>
  </si>
  <si>
    <t>3.3.4</t>
  </si>
  <si>
    <t>3.3.5</t>
  </si>
  <si>
    <t>4.4.2</t>
  </si>
  <si>
    <t>POÇO DE VISITA (Ø120)</t>
  </si>
  <si>
    <t>POÇO DE VISITA DUPLO</t>
  </si>
  <si>
    <t>2.9</t>
  </si>
  <si>
    <t>2.10</t>
  </si>
  <si>
    <t>4.10</t>
  </si>
  <si>
    <t>PREFEITURA MUNICIPAL DE MIRASSOL D' OESTE</t>
  </si>
  <si>
    <t xml:space="preserve">VALOR TOTAL </t>
  </si>
  <si>
    <t>DIAS</t>
  </si>
  <si>
    <t>DO ITEM - R$</t>
  </si>
  <si>
    <t>Repasse</t>
  </si>
  <si>
    <t>TOTAL GERAL</t>
  </si>
  <si>
    <t>R$</t>
  </si>
  <si>
    <t xml:space="preserve"> MENSAL</t>
  </si>
  <si>
    <t>Mês</t>
  </si>
  <si>
    <t xml:space="preserve"> ACUMULADO</t>
  </si>
  <si>
    <t>Acumulado</t>
  </si>
  <si>
    <t>60 DIAS</t>
  </si>
  <si>
    <t>120 DIAS</t>
  </si>
  <si>
    <t>DESCRIÇÃO</t>
  </si>
  <si>
    <t>UNIDADE</t>
  </si>
  <si>
    <t>CALCULO</t>
  </si>
  <si>
    <t>30 DIAS</t>
  </si>
  <si>
    <t>90 DIAS</t>
  </si>
  <si>
    <t>150 DIAS</t>
  </si>
  <si>
    <t>* ISS 5% sobre 40% de mão-de-obra</t>
  </si>
  <si>
    <t>180 DIAS</t>
  </si>
  <si>
    <t>IMPERIO</t>
  </si>
  <si>
    <t>4.4.4</t>
  </si>
  <si>
    <t>4.4.5</t>
  </si>
  <si>
    <t>Lados</t>
  </si>
  <si>
    <t>Reaproveitamento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</si>
  <si>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</si>
  <si>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</si>
  <si>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</si>
  <si>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</si>
  <si>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</si>
  <si>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</si>
  <si>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</si>
  <si>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</si>
  <si>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</si>
  <si>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</si>
  <si>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DIVERSAS RUAS - PERIMETRO URBANO</t>
  </si>
  <si>
    <t>COMPOSIÇÃO DE CUSTOS</t>
  </si>
  <si>
    <t>REFERENCIA:</t>
  </si>
  <si>
    <t>SINAPI - 72958</t>
  </si>
  <si>
    <t>PEDRA BRITADA N. 2 (19 A 38 MM) - SEM FRETE</t>
  </si>
  <si>
    <t>PEDRA BRITADA N. 0, OU PEDRISCO (4,8 A 9,5 MM) SEM FRETE</t>
  </si>
  <si>
    <t>SINAPI - 73760/001</t>
  </si>
  <si>
    <t>SERVENTE COM ENCARGOS COMPLEMENTARES</t>
  </si>
  <si>
    <t>ESCORAMENTO DE VALAS DESCONTINUO</t>
  </si>
  <si>
    <t>Ø 150cm</t>
  </si>
  <si>
    <t>PLANILHA CÁLCULO DE DRENAGEM - ESCAVAÇÃO E REATERRO</t>
  </si>
  <si>
    <t>RELAÇÃO DE RUAS BENEFICIADAS - DRENAGEM</t>
  </si>
  <si>
    <t>QUADRO DEMONSTRATIVO DE MATERIAL PÉTREO ( PAVIMENTADA)</t>
  </si>
  <si>
    <t>Volume Total (t)</t>
  </si>
  <si>
    <t>DMT  (Pav.)   (km)</t>
  </si>
  <si>
    <t>Momento Transporte (txkm)</t>
  </si>
  <si>
    <t>QUADRO DEMONSTRATIVO DE MATERIAL DE BETUMINOSO ( PAVIMENTADA)</t>
  </si>
  <si>
    <t>Volume de CM-30 (t)</t>
  </si>
  <si>
    <t>Volume RR-2C (t)</t>
  </si>
  <si>
    <t>CUBAÇÃO PAVIMENTAÇÃO</t>
  </si>
  <si>
    <t>VOLUME PARCIAL</t>
  </si>
  <si>
    <t>VOLUME ACUMULADO</t>
  </si>
  <si>
    <t>RUA / AVENIDA</t>
  </si>
  <si>
    <t>VOLUME DE ATERRO          (m³)</t>
  </si>
  <si>
    <t>VOLUME DE CORTE                (m³)</t>
  </si>
  <si>
    <t>TOTAL DE VOLUMES</t>
  </si>
  <si>
    <t>COMPENSAÇÃO</t>
  </si>
  <si>
    <t>CORTE</t>
  </si>
  <si>
    <t>ATERRO</t>
  </si>
  <si>
    <t>MATERIAL DE BOTA FORA</t>
  </si>
  <si>
    <t>QUADRO DEMONSTRATIVO MATERIAL DE BASE E SUB-BASE</t>
  </si>
  <si>
    <t>Altura de Sub-Base (m)</t>
  </si>
  <si>
    <t>Altura de Base (m)</t>
  </si>
  <si>
    <t>Volume de escavação MF (m³)</t>
  </si>
  <si>
    <t>Volume de Sub-Base (m³)</t>
  </si>
  <si>
    <t>Volume de Base (m³)</t>
  </si>
  <si>
    <t>Volume Total (m³)</t>
  </si>
  <si>
    <t>Ext. MF (m)</t>
  </si>
  <si>
    <t>Prof. (m)</t>
  </si>
  <si>
    <t>Largura (m)</t>
  </si>
  <si>
    <t>Volume (m³)</t>
  </si>
  <si>
    <t>KG</t>
  </si>
  <si>
    <t>COMPOSIÇÃO DE CUSTOS UNITÁRIOS</t>
  </si>
  <si>
    <t>Brita 0 ou Pedrisco (kg/m²)</t>
  </si>
  <si>
    <t>Volume de Brita 2 (t)</t>
  </si>
  <si>
    <t>Volume de Brita 0 (t)</t>
  </si>
  <si>
    <t>RR - 2C (Kg/m²)</t>
  </si>
  <si>
    <t>CM-30 (Kg/m²)</t>
  </si>
  <si>
    <t>Composição do BDI conforme Acórdão 2622/2013 do TCU</t>
  </si>
  <si>
    <t>Ver Planilha de Base e SubBase</t>
  </si>
  <si>
    <t>RECURSO</t>
  </si>
  <si>
    <t>TERRAPLENAGEM</t>
  </si>
  <si>
    <t>QUADRO QUANTITATIVO DE CALÇADA</t>
  </si>
  <si>
    <t>LR-01</t>
  </si>
  <si>
    <t>SERVIÇO:</t>
  </si>
  <si>
    <t>POCO VISITA DUPLO 1,90X2,8X1,50 M COLETOR D=1,2M PAREDE E=20CM BASE CONC FCK=15MPA</t>
  </si>
  <si>
    <t>SINFRA SETEMBRO 2012</t>
  </si>
  <si>
    <t>73990/001</t>
  </si>
  <si>
    <t>ARMACAO ACO CA-50 P/1,0M3 DE CONCRETO</t>
  </si>
  <si>
    <t xml:space="preserve">Total de mão de obra                                                        </t>
  </si>
  <si>
    <t>BARRA LISA TRACO 1:3 (CIMENTO E AREIA MEDIA NAO PENEIRADA), INCLUSO ADITIVO IMPERMEABILIZANTE, ESPESSURA 0,5CM, PREPARO MANUAL DA ARGAMASSA</t>
  </si>
  <si>
    <t>COMPOSIÇÃO</t>
  </si>
  <si>
    <t>ESPARGIDOR DE ASFALTO PRESSURIZADO, TANQUE 6 M3 COM ISOLAÇÃO TÉRMICA, AQUECIDO COM 2 MAÇARICOS, COM BARRA ESPARGIDORA 3,60 M, MONTADO SOBRE CAMINHÃO  TOCO, PBT 14.300 KG, POTÊNCIA 185 CV - CHP DIURNO. AF_08/2015</t>
  </si>
  <si>
    <t>MESTRE DE OBRAS COM ENCARGOS COMPLEMENTARES</t>
  </si>
  <si>
    <t>FORMA PARA ESTRUTURAS DE CONCRETO (PILAR, VIGA E LAJE) EM CHAPA DE MADEIRA COMPENSADA PLASTIFICADA, DE 1,10 X 2,20, ESPESSURA = 12 MM, 05 UTILIZACOES. (FABRICACAO, MONTAGEM E DESMONTAGEM - EXCLUSIVE ESCORAMENTO)</t>
  </si>
  <si>
    <t>CONCRETO FCK=15MPA (1:2,5:3) , INCLUIDO PREPARO MECANICO, LANCAMENTO E ADENSAMENTO.</t>
  </si>
  <si>
    <t>ALVENARIA EMBASAMENTO TIJOLO CERAMICO FURADO 10X20X20 CM</t>
  </si>
  <si>
    <t xml:space="preserve">CHAPISCO APLICADO TANTO EM PILARES E VIGAS DE CONCRETO COMO EM ALVENARIA DE FACHADA COM PRESENÇA DE VÃOS, COM ROLO PARA TEXTURA ACRÍLICA. ARGAMASSA TRAÇO 1:4 E EMULSÃO POLIMÉRICA (ADESIVO) COM PREPARO EM MISTURADOR 300 KG. </t>
  </si>
  <si>
    <t>Cód. SINAPI</t>
  </si>
  <si>
    <t>QUADRO QUANTITATIVO DE PISO TATIL</t>
  </si>
  <si>
    <t>Quant Parcial (und)</t>
  </si>
  <si>
    <t>Cruzamentos / Rampas PNE</t>
  </si>
  <si>
    <t>P.Unit</t>
  </si>
  <si>
    <t>V.Total(R$)</t>
  </si>
  <si>
    <t>ATACADÃO DO PISO</t>
  </si>
  <si>
    <t>SOLUÇÃO ACESSIVEL</t>
  </si>
  <si>
    <t>MATERIAIS</t>
  </si>
  <si>
    <t>MAO DE OBRA</t>
  </si>
  <si>
    <t>TOTAL DO ITEM &gt;&gt;&gt;</t>
  </si>
  <si>
    <t>ENGENHEIRO CIVIL DE OBRA PLENO COM ENCARGOS COMPLEMENTARES</t>
  </si>
  <si>
    <t>CHEFE DE ESCRITORIO - AUXILIAR DE ESCRITORIO COM ENCARGOS COMPLEMENTARES</t>
  </si>
  <si>
    <t>DATA:</t>
  </si>
  <si>
    <t>VOLUME DE ATERRO                          (m³)</t>
  </si>
  <si>
    <t>VOLUME DE CORTE                         (m³)</t>
  </si>
  <si>
    <t>COMPOSIÇÃO DE CUSTO UNITÁRIO - POÇO DE VISITA</t>
  </si>
  <si>
    <t>MÃO DE OBRA</t>
  </si>
  <si>
    <t>LIMPA RODAS</t>
  </si>
  <si>
    <t>Extensão (m)</t>
  </si>
  <si>
    <t>TRIBUTOS (ISS 2%*; PIS 0,65; COFINS 3%, CPRB 4,5% )</t>
  </si>
  <si>
    <t>AJUDANTE DE PEDREIRO COM ENCARGOS COMPLEMENTARES</t>
  </si>
  <si>
    <t>PEDREIRO COM ENCARGOS COMPLEMENTARES</t>
  </si>
  <si>
    <t>Area Parcial (m²)</t>
  </si>
  <si>
    <t>Area Total (m²)</t>
  </si>
  <si>
    <t>TRECHO 01</t>
  </si>
  <si>
    <t>CP</t>
  </si>
  <si>
    <t>CONV</t>
  </si>
  <si>
    <t>ROLO COMPACTADOR DE PNEUS ESTÁTICO, PRESSÃO VARIÁVEL, POTÊNCIA 111 HP, PESO SEM/COM LASTRO 9,5 / 26 T, LARGURA DE TRABALHO 1,90 M - CHP DIURNO. AF_07/2014</t>
  </si>
  <si>
    <t>ROLO COMPACTADOR DE PNEUS ESTÁTICO, PRESSÃO VARIÁVEL, POTÊNCIA 111 HP, PESO SEM/COM LASTRO 9,5 / 26 T, LARGURA DE TRABALHO 1,90 M - CHI DIURNO. AF_07/2014</t>
  </si>
  <si>
    <t>OBRAS COMPLEMENTARES</t>
  </si>
  <si>
    <t>Ext. (m)</t>
  </si>
  <si>
    <t>Ext. Parcial (m)</t>
  </si>
  <si>
    <t>Ext. Total (m)</t>
  </si>
  <si>
    <t>VALOR PARCIAL              COM BDI</t>
  </si>
  <si>
    <t>SINAPI</t>
  </si>
  <si>
    <t>SICRO</t>
  </si>
  <si>
    <t>ÁREA (m²):</t>
  </si>
  <si>
    <t>Largura           (m)</t>
  </si>
  <si>
    <t>Área                (m²)</t>
  </si>
  <si>
    <t>INVESTIMENTO</t>
  </si>
  <si>
    <t>UNIÃO</t>
  </si>
  <si>
    <t>CONTRA P.</t>
  </si>
  <si>
    <t>OUTROS</t>
  </si>
  <si>
    <t>Espessura  (m²)</t>
  </si>
  <si>
    <t xml:space="preserve">Total Geral </t>
  </si>
  <si>
    <t>Totais Parciais</t>
  </si>
  <si>
    <t>Largura     (m)</t>
  </si>
  <si>
    <t>Extensão</t>
  </si>
  <si>
    <t>Quant / m  (und)</t>
  </si>
  <si>
    <t>Extensão MF           (m)</t>
  </si>
  <si>
    <t>Quant. Parcial  (und)</t>
  </si>
  <si>
    <t>Quant. De Faixas</t>
  </si>
  <si>
    <t>Quant. Rampa / Faixa (und)</t>
  </si>
  <si>
    <t>Quant Piso / Rampa (und)</t>
  </si>
  <si>
    <t>Quant. Rampa   (und)</t>
  </si>
  <si>
    <t>Area por Piso     (m²)</t>
  </si>
  <si>
    <t>Area     Total        (m²)</t>
  </si>
  <si>
    <t>Quant.     Total        (und)</t>
  </si>
  <si>
    <t>EXECUÇÃO DE DEPÓSITO EM CANTEIRO DE OBRA EM CHAPA DE MADEIRA COMPENSADA, NÃO INCLUSO MOBILIÁRIO. AF_04/2016</t>
  </si>
  <si>
    <t>EXECUÇÃO DE SANITÁRIO E VESTIÁRIO EM CANTEIRO DE OBRA EM CHAPA DE MADEIRA COMPENSADA, NÃO INCLUSO MOBILIÁRIO. AF_02/2016</t>
  </si>
  <si>
    <t>GUIA (MEIO-FIO) E SARJETA CONJUGADOS DE CONCRETO, MOLDADA IN LOCO EM TRECHO RETO COM EXTRUSORA, GUIA 13 CM BASE X 22 CM ALTURA, SARJETA 30CM BASE X 8,5 CM ALTURA. AF_06/2016</t>
  </si>
  <si>
    <t>PREPARO DE FUNDO DE VALA COM LARGURA MENOR QUE 1,5 M, EM LOCAL COM NÍVEL ALTO DE INTERFERÊNCIA. AF_06/2016</t>
  </si>
  <si>
    <t>Ver Planilha de Calçada                        (Volume de Calçada)</t>
  </si>
  <si>
    <t>Ver Planilha de Calçada                        (Area de Calçada)</t>
  </si>
  <si>
    <t>EXECUÇÃO DE PASSEIO (CALÇADA) OU PISO DE CONCRETO COM CONCRETO MOLDADO IN LOCO, FEITO EM OBRA, ACABAMENTO CONVENCIONAL, NÃO ARMADO. AF_07/2016</t>
  </si>
  <si>
    <t>ESPARGIDOR DE ASFALTO PRESSURIZADO, TANQUE 6 M3 COM ISOLAÇÃO TÉRMICA, AQUECIDO COM 2 MAÇARICOS, COM BARRA ESPARGIDORA 3,60 M, MONTADO SOBRE CAMINHÃO  TOCO, PBT 14.300 KG, POTÊNCIA 185 CV - CHI DIURNO. AF_08/2015</t>
  </si>
  <si>
    <t>TANQUE DE ASFALTO ESTACIONÁRIO COM SERPENTINA, CAPACIDADE 30.000 L - CHP DIURNO. AF_06/2014</t>
  </si>
  <si>
    <t>TRANSPORTE DE MATERIAL ASFALTICO, COM CAMINHÃO COM CAPACIDADE DE 30000L EM RODOVIA PAVIMENTADA PARA DISTÂNCIAS MÉDIAS DE TRANSPORTE SUPERIORES A 100 KM. AF_02/2016 - 315 KM - CUIABA À SÃO JOSE DOS QUATRO MARCOS</t>
  </si>
  <si>
    <t>Área Total              (m²)</t>
  </si>
  <si>
    <t>LASTRO DE AREIA MEDIA</t>
  </si>
  <si>
    <t>REATERRO MECANIZADO DE VALA COM RETROESCAVADEIRA (CAPACIDADE DA CAÇAMBA DA RETRO: 0,26 M³ / POTÊNCIA: 88 HP), LARGURA DE 0,8 A 1,5 M, PROFUNDIDADE ATÉ 1,5 M, COM SOLO (SEM SUBSTITUIÇÃO) DE 1ª CATEGORIA EM LOCAIS COM BAIXO NÍVEL DE INTERFERÊNCIA. AF_04/2016</t>
  </si>
  <si>
    <t>REATERRO MECANIZADO DE VALA COM RETROESCAVADEIRA (CAPACIDADE DA CAÇAMBA DA RETRO: 0,26 M³ / POTÊNCIA: 88 HP), LARGURA DE 0,8 A 1,5 M, PROFUNDIDADE DE 1,5 A 3,0 M, COM SOLO (SEM SUBSTITUIÇÃO) DE 1ª CATEGORIA EM LOCAIS COM BAIXO NÍVEL DE INTERFERÊNCIA. AF_04/2016</t>
  </si>
  <si>
    <t>TUBO DE CONCRETO PARA REDES COLETORAS DE ÁGUAS PLUVIAIS, DIÂMETRO DE 400 MM, JUNTA RÍGIDA, INSTALADO EM LOCAL COM BAIXO NÍVEL DE INTERFERÊNCIAS - FORNECIMENTO E ASSENTAMENTO. AF_12/2015</t>
  </si>
  <si>
    <t>TUBO DE CONCRETO PARA REDES COLETORAS DE ÁGUAS PLUVIAIS, DIÂMETRO DE 800 MM, JUNTA RÍGIDA, INSTALADO EM LOCAL COM BAIXO NÍVEL DE INTERFERÊNCIAS - FORNECIMENTO E ASSENTAMENTO. AF_12/2015</t>
  </si>
  <si>
    <t>TUBO DE CONCRETO PARA REDES COLETORAS DE ÁGUAS PLUVIAIS, DIÂMETRO DE 1000 MM, JUNTA RÍGIDA, INSTALADO EM LOCAL COM BAIXO NÍVEL DE INTERFERÊNCIAS - FORNECIMENTO E ASSENTAMENTO. AF_12/2015</t>
  </si>
  <si>
    <t>1.6</t>
  </si>
  <si>
    <t>1.7</t>
  </si>
  <si>
    <t>1.8</t>
  </si>
  <si>
    <t>1.9</t>
  </si>
  <si>
    <t>1.10</t>
  </si>
  <si>
    <t>1.11</t>
  </si>
  <si>
    <t>1.12</t>
  </si>
  <si>
    <t>2.11</t>
  </si>
  <si>
    <t>2.12</t>
  </si>
  <si>
    <t>4.11</t>
  </si>
  <si>
    <t>4.12</t>
  </si>
  <si>
    <t>DISPOSITIVO</t>
  </si>
  <si>
    <t>(A) Área da Seção</t>
  </si>
  <si>
    <t>(V1) Volume do Dispositivo</t>
  </si>
  <si>
    <t>(V2)    Volume de Escavação</t>
  </si>
  <si>
    <t>Reaterro=V2-V1               ( m³ )</t>
  </si>
  <si>
    <t xml:space="preserve">B                 largura </t>
  </si>
  <si>
    <t xml:space="preserve">H                  altura </t>
  </si>
  <si>
    <t>L              comprim.</t>
  </si>
  <si>
    <t>5.11</t>
  </si>
  <si>
    <t>5.12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</si>
  <si>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</si>
  <si>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</si>
  <si>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</si>
  <si>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</si>
  <si>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</si>
  <si>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</si>
  <si>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</si>
  <si>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</si>
  <si>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</si>
  <si>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</si>
  <si>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</si>
  <si>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</si>
  <si>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7.0</t>
  </si>
  <si>
    <t>REAPROVEITAMENTO</t>
  </si>
  <si>
    <t>item</t>
  </si>
  <si>
    <t>chamine</t>
  </si>
  <si>
    <t>ESCAVACAO DE VALA NAO ESCORADA EM MATERIAL DE 1A CATEGORIA COM PROFUNDIDADE DE 1,5 ATE 3M</t>
  </si>
  <si>
    <t xml:space="preserve">ESCAVACAO DE VALA NAO ESCORADA EM MATERIAL 1A CATEGORIA, PROFUNDIDADE ATE 1,5 M </t>
  </si>
  <si>
    <t>REATERRO MECANIZADO DE VALA PROFUNDIDADE DE 1,5 A 3,0 M</t>
  </si>
  <si>
    <t>REATERRO MECANIZADO DE VALA  PROFUNDIDADE ATÉ 1,5 M</t>
  </si>
  <si>
    <t>DATA</t>
  </si>
  <si>
    <t>EMPRESA</t>
  </si>
  <si>
    <t>QTD.</t>
  </si>
  <si>
    <t>CNPJ</t>
  </si>
  <si>
    <t>13.374.280/0001-06</t>
  </si>
  <si>
    <t>12.059.644/0001-34</t>
  </si>
  <si>
    <t>LADRIARTS</t>
  </si>
  <si>
    <t>08.810.477/0001-44</t>
  </si>
  <si>
    <t>PISO TÁTIL DIRECIONAL E/OU ALERTA, DE CONCRETO, NA COR NATURAL, P/DEFICIENTES VISUAIS, DIMENSÕES 25X25CM, APLICADO COM ARGAMASSA AC-II</t>
  </si>
  <si>
    <t>ESCAVAÇÃO MECANIZADA DE VALA COM PROF. ATÉ 1,5 M(MÉDIA ENTRE MONTANTE E JUSANTE/UMA COMPOSIÇÃO POR TRECHO), COM ESCAVADEIRA HIDRÁULICA (0,8M3/111 HP), LARG. DE 1,5M A 2,5 M, EM SOLO DE 1A CATEGORIA, LOCAIS COM BAIXO NÍVEL DE INTERFERÊNCIA. AF_01/2015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</si>
  <si>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t>
  </si>
  <si>
    <t>LASTRO DE VALA COM PREPARO DE FUNDO, LARGURA MENOR QUE 1,5 M, COM CAMADA DE AREIA, LANÇAMENTO MANUAL, EM LOCAL COM NÍVEL BAIXO DE INTERFERÊNCIA. AF_06/2016</t>
  </si>
  <si>
    <t>BOCA DE LOBO EM ALVENARIA TIJOLO MACICO, REVESTIDA C/ ARGAMASSA DE CIMENTO E AREIA 1:3, SOBRE LASTRO DE CONCRETO 10CM E TAMPA DE CONCRETO ARMADO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</si>
  <si>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</si>
  <si>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</si>
  <si>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</si>
  <si>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</si>
  <si>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</si>
  <si>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</si>
  <si>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</si>
  <si>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</si>
  <si>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</si>
  <si>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</si>
  <si>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</si>
  <si>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</si>
  <si>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4.3.1</t>
  </si>
  <si>
    <t>4.3.2</t>
  </si>
  <si>
    <t>4.3.3</t>
  </si>
  <si>
    <t>4.4.1</t>
  </si>
  <si>
    <t>4.4.3</t>
  </si>
  <si>
    <t>ESCORAMENTO DE VALA, TIPO DESCONTÍNUO, COM PROFUNDIDADE DE 0 A 1,5 M,LARGURA MAIOR OU IGUAL A 1,5 M E MENOR QUE 2,5 M, EM LOCAL COM NÍVEL BAIXO DE INTERFERÊNCIA. AF_06/2016</t>
  </si>
  <si>
    <t>TRECHO 02</t>
  </si>
  <si>
    <t>1.13</t>
  </si>
  <si>
    <t>Poço de Visita - Coletor de Ø120</t>
  </si>
  <si>
    <t>2.13</t>
  </si>
  <si>
    <t>6.13</t>
  </si>
  <si>
    <t>5.13</t>
  </si>
  <si>
    <t>4.13</t>
  </si>
  <si>
    <t>CONVERSÃO M³/T</t>
  </si>
  <si>
    <t>DMT DE BOTA FORA (Km)</t>
  </si>
  <si>
    <t>SEGURO E  GARANTIA</t>
  </si>
  <si>
    <t>Coordenada Inicial</t>
  </si>
  <si>
    <t>Latitude</t>
  </si>
  <si>
    <t>Longitude</t>
  </si>
  <si>
    <t>Coordenada Final</t>
  </si>
  <si>
    <t>Logradouros</t>
  </si>
  <si>
    <t xml:space="preserve">Inicial </t>
  </si>
  <si>
    <t>Final</t>
  </si>
  <si>
    <t>QUADRO DE COORDENADAS</t>
  </si>
  <si>
    <t>AREA</t>
  </si>
  <si>
    <t>ALTURA DE CORTE</t>
  </si>
  <si>
    <t>ADMINISTRAÇÃO LOCAL DA OBRA</t>
  </si>
  <si>
    <t>Cod. Ref.</t>
  </si>
  <si>
    <t>Descrição</t>
  </si>
  <si>
    <t>TOTAL DA COMPOSIÇÃO</t>
  </si>
  <si>
    <t>Ver Planilha de Composição</t>
  </si>
  <si>
    <t>Ver Planilha de Cubação                    Material de Corte</t>
  </si>
  <si>
    <t>Ver Planilha de Cubação                 Transporte de Bota Fora</t>
  </si>
  <si>
    <r>
      <t xml:space="preserve">POCO DE VISITA EM ALVENARIA, PARA REDE </t>
    </r>
    <r>
      <rPr>
        <b/>
        <sz val="11"/>
        <color theme="1"/>
        <rFont val="Times New Roman"/>
        <family val="1"/>
      </rPr>
      <t>D=0,80 M</t>
    </r>
    <r>
      <rPr>
        <sz val="11"/>
        <color theme="1"/>
        <rFont val="Times New Roman"/>
        <family val="1"/>
      </rPr>
      <t>, PARTE FIXA C/ 1,00 M DE ALTURA</t>
    </r>
  </si>
  <si>
    <r>
      <t xml:space="preserve">POCO DE VISITA EM ALVENARIA, PARA REDE </t>
    </r>
    <r>
      <rPr>
        <b/>
        <sz val="11"/>
        <color theme="1"/>
        <rFont val="Times New Roman"/>
        <family val="1"/>
      </rPr>
      <t>D=1,00 M</t>
    </r>
    <r>
      <rPr>
        <sz val="11"/>
        <color theme="1"/>
        <rFont val="Times New Roman"/>
        <family val="1"/>
      </rPr>
      <t>, PARTE FIXA C/ 1,00 M DE ALTURA</t>
    </r>
  </si>
  <si>
    <t>CHAMINE P/ POCO DE VISITA EM ALVENARIA, EXCLUSOS TAMPAO E ANEL</t>
  </si>
  <si>
    <t>TAMPAO FOFO ARTICULADO, CLASSE B125 CARGA MAX 12,5 T, REDONDO TAMPA 600 MM, REDE PLUVIAL/ESGOTO, P = CHAMINE CX AREIA / POCO VISITA ASSENTADO COM ARG CIM/AREIA 1:4, FORNECIMENTO E ASSENTAMENTO</t>
  </si>
  <si>
    <t>DISSIPADOR DE ENERGIA EM PEDRA ARGAMASSADA ESPESSURA 6CM INCL MATERIAIS E COLOCACAO MEDIDO P/ VOLUME DE PEDRA ARGAMASSADA</t>
  </si>
  <si>
    <t>TRANSPORTE COM CAMINHÃO BASCULANTE 6 M3 EM RODOVIA COM REVESTIMENTO PRIMÁRIO - BOTA FORA(2,0KM)</t>
  </si>
  <si>
    <t>M2</t>
  </si>
  <si>
    <t>M3</t>
  </si>
  <si>
    <t>M</t>
  </si>
  <si>
    <t>M3xKM</t>
  </si>
  <si>
    <t>74151/001</t>
  </si>
  <si>
    <t>ESCAVACAO E CARGA MATERIAL 1A CATEGORIA, UTILIZANDO TRATOR DE ESTEIRAS DE 110 A 160HP COM LAMINA, PESO OPERACIONAL * 13T E PA CARREGADEIRA COM 170 HP.</t>
  </si>
  <si>
    <t>TRANSPORTE COM CAMINHÃO BASCULANTE 6 M3 EM RODOVIA COM REVESTIMENTO PRIMÁRIO - JAZIDA 9,5KM</t>
  </si>
  <si>
    <t>TRANSPORTE COMERCIAL DE BRITA  45 KM - BRITA IMPERIO À SÃO JOSE DOS QUATRO MARCOS</t>
  </si>
  <si>
    <t>SINALIZACAO HORIZONTAL COM TINTA RETRORREFLETIVA A BASE DE RESINA ACRILICA COM MICROESFERAS DE VIDRO</t>
  </si>
  <si>
    <t>73916/002</t>
  </si>
  <si>
    <t>PLACA ESMALTADA PARA IDENTIFICAÇÃO NR DE RUA, DIMENSÕES 45X25CM</t>
  </si>
  <si>
    <t>COTAÇÕES DE PREÇOS</t>
  </si>
  <si>
    <t>REFERÊNCIA: ORSE / 10808</t>
  </si>
  <si>
    <t>SARRAFO DE MADEIRA NAO APARELHADA *2,5 X 7* CM, MACARANDUBA, ANGELIM OU EQUIVALENTE DA REGIAO</t>
  </si>
  <si>
    <t>PECA DE MADEIRA NAO APARELHADA *7,5 X 7,5* CM (3 X 3 ") MACARANDUBA, ANGELIM OU EQUIVALENTE DA REGIAO</t>
  </si>
  <si>
    <t>TINTA ESMALTE SINTETICO PREMIUM FOSCO</t>
  </si>
  <si>
    <t>L</t>
  </si>
  <si>
    <t>CARPINTEIRO DE FORMAS COM ENCARGOS COMPLEMENTARES</t>
  </si>
  <si>
    <t>PINTOR COM ENCARGOS COMPLEMENTARES</t>
  </si>
  <si>
    <t>TOTAL DA COMPOSIÇÃO&gt;&gt;&gt;</t>
  </si>
  <si>
    <t>CONFECÇÃO DE SUPORTE E TRAVESSA PARA PLACA DE SINALIZAÇÃO</t>
  </si>
  <si>
    <t>GUIA (MEIO-FIO) CONCRETO, MOLDADA IN LOCO EM TRECHO RETO COM EXTRUSORA, 14 CM BASE X 30 CM ALTURA. AF_06/2016</t>
  </si>
  <si>
    <t>Extensão total do meio fio Sem sarjeta</t>
  </si>
  <si>
    <t>Extensão total do meio fio Com sarjeta</t>
  </si>
  <si>
    <t>Extensão Total (m)</t>
  </si>
  <si>
    <t>4.3.4</t>
  </si>
  <si>
    <t>PAVIMENTAÇÃO ASFALTICA E DRENAGEM DE AGUAS PLUVIAIS</t>
  </si>
  <si>
    <t>REFERÊNCIA: SINAPI / 73916/002</t>
  </si>
  <si>
    <t>BUCHA DE NYLON SEM ABA S6, COM PARAFUSO DE 4,20 X 40 MM EM ACO ZINCADO COM ROSCA SOBERBA, CABECA CHATA E FENDA PHILLIPS</t>
  </si>
  <si>
    <t>UN</t>
  </si>
  <si>
    <t>PLACA DE SINALIZACAO EM CHAPA DE ACO NUM 16 COM PINTURA REFLETIVA</t>
  </si>
  <si>
    <t>PLACA DE SINALIZACAO EM CHAPA DE ACO NUM 16 COM PINTURA REFLETIVA - FORNECIMENTO E INSTALAÇÃO</t>
  </si>
  <si>
    <t>PLACAS DE SINALIZAÇÃO VERTICAL - REGULAMENTAIS</t>
  </si>
  <si>
    <t>PLACAS DE SINALIZAÇÃO VERTICAL - IDENTIFICAÇÃO DE RUAS</t>
  </si>
  <si>
    <t>SUPORTE PARA PLACA DE SINALIZAÇÃO VERTICAL</t>
  </si>
  <si>
    <t>SINALIZAÇÃO HORIZONTAL - PINTURA ACRILICA</t>
  </si>
  <si>
    <t>2 x 0,45x0,25m</t>
  </si>
  <si>
    <t>COMPOSIÇÃO 01</t>
  </si>
  <si>
    <t>COMPOSIÇÃO 02</t>
  </si>
  <si>
    <t>COMPOSIÇÃO 03</t>
  </si>
  <si>
    <t>COMPOSIÇÃO 04</t>
  </si>
  <si>
    <t>COMPOSIÇÃO 05</t>
  </si>
  <si>
    <t>COMPOSIÇÃO 06</t>
  </si>
  <si>
    <t>ADMINISTRAÇÃO DE CANTEIRO DE OBRA</t>
  </si>
  <si>
    <t>3.1.2</t>
  </si>
  <si>
    <t>3.1.3</t>
  </si>
  <si>
    <t>3.1.4</t>
  </si>
  <si>
    <t>3.1.5</t>
  </si>
  <si>
    <t>3.1.6</t>
  </si>
  <si>
    <t>SINAPI - JANEIRO 2018 (DESONERADO)</t>
  </si>
  <si>
    <t>,</t>
  </si>
  <si>
    <t>74021/006</t>
  </si>
  <si>
    <r>
      <t xml:space="preserve">EXECUÇÃO E COMPACTAÇÃO DE BASE E OU SUB BASE COM SOLO ESTABILIZADO GRANULOMETRICAMENTE - EXCLUSIVE ESCAVAÇÃO, CARGA E TRANSPORTE E SOLO. AF_09/2017 </t>
    </r>
    <r>
      <rPr>
        <b/>
        <sz val="11"/>
        <rFont val="Times New Roman"/>
        <family val="1"/>
      </rPr>
      <t>-(SUB-BASE)</t>
    </r>
  </si>
  <si>
    <r>
      <t>EXECUÇÃO E COMPACTAÇÃO DE BASE E OU SUB BASE COM SOLO ESTABILIZADO GRANULOMETRICAMENTE - EXCLUSIVE ESCAVAÇÃO, CARGA E TRANSPORTE E SOLO. AF_09/2017</t>
    </r>
    <r>
      <rPr>
        <b/>
        <sz val="11"/>
        <rFont val="Times New Roman"/>
        <family val="1"/>
      </rPr>
      <t>-(BASE)</t>
    </r>
  </si>
  <si>
    <t>4.2.11</t>
  </si>
  <si>
    <t>4.2.12</t>
  </si>
  <si>
    <t>4.2.13</t>
  </si>
  <si>
    <t>3.3.6</t>
  </si>
  <si>
    <t>30</t>
  </si>
  <si>
    <t xml:space="preserve">PREFEITURA MUNICIPAL DE BARRA DO BUGRES </t>
  </si>
  <si>
    <t>ENGº CIVIL</t>
  </si>
  <si>
    <t>M3XKM</t>
  </si>
  <si>
    <t>GUIA (MEIO-FIO) E SARJETA CONJUGADOS DE CONCRETO, MOLDADA IN LOCO EM TRECHO RETO COM EXTRUSORA, 45 CM BASE (15 CM BASE DA GUIA + 30 CM BASE DA SARJETA) X 22 CM ALTURA. AF_06/2016</t>
  </si>
  <si>
    <t>GUIA (MEIO-FIO) E SARJETA CONJUGADOS DE CONCRETO, MOLDADA IN LOCO EM TRECHO CURVO COM EXTRUSORA, 45 CM BASE (15 CM BASE DA GUIA + 30 CM BASE DA SARJETA) X 22 CM ALTURA. AF_06/2016</t>
  </si>
  <si>
    <t>TOPOGRAFO COM ENCARGOS COMPLEMENTARES</t>
  </si>
  <si>
    <t>RUA DOM PEDRO II</t>
  </si>
  <si>
    <t>RUA DOM ARTUR</t>
  </si>
  <si>
    <t>RUA TAPAJOS</t>
  </si>
  <si>
    <t>RUA 11</t>
  </si>
  <si>
    <t>DOM ARTUR</t>
  </si>
  <si>
    <t>RUA BEIJA-FLOR</t>
  </si>
  <si>
    <t>AV AYRTON SENNA</t>
  </si>
  <si>
    <t>AV SEM. FILINTO MULLER</t>
  </si>
  <si>
    <t xml:space="preserve"> 15° 4'3.03"S</t>
  </si>
  <si>
    <t xml:space="preserve"> 57°11'37.77"O</t>
  </si>
  <si>
    <t xml:space="preserve"> 15° 3'51.97"S</t>
  </si>
  <si>
    <t xml:space="preserve"> 57°11'34.78"O</t>
  </si>
  <si>
    <t xml:space="preserve"> 15° 3'45.90"S</t>
  </si>
  <si>
    <t xml:space="preserve"> 57°11'26.31"O</t>
  </si>
  <si>
    <t xml:space="preserve"> 15° 3'35.95"S</t>
  </si>
  <si>
    <t xml:space="preserve"> 57°11'29.49"O</t>
  </si>
  <si>
    <t xml:space="preserve"> 15° 3'30.22"S</t>
  </si>
  <si>
    <t xml:space="preserve"> 57°11'19.58"O</t>
  </si>
  <si>
    <t>QUADRO QUANTITATIVO DE MEIO-FIO COM SARJETA RETO</t>
  </si>
  <si>
    <t>QUADRO QUANTITATIVO DE MEIO-FIO COM SARJETA CURVO</t>
  </si>
  <si>
    <t>DMT (km) (N PAV)</t>
  </si>
  <si>
    <t>DMT (km) (PAV)</t>
  </si>
  <si>
    <t>M. Trans. (N Pav)</t>
  </si>
  <si>
    <t>MATERIAL DE BOTA FORA (m³xKm)</t>
  </si>
  <si>
    <t>PREÇO UNIT SEM BDI</t>
  </si>
  <si>
    <t>REC TOTAL</t>
  </si>
  <si>
    <t>REC GOV</t>
  </si>
  <si>
    <t>CONTRA</t>
  </si>
  <si>
    <t>M. Trans. (Pav)</t>
  </si>
  <si>
    <t>QUADRO DEMONSTRATIVO DE TERRAPLENAGEM</t>
  </si>
  <si>
    <t>LR-02</t>
  </si>
  <si>
    <t>CT-01</t>
  </si>
  <si>
    <t>3X4</t>
  </si>
  <si>
    <t>3.2.4</t>
  </si>
  <si>
    <t>3.2.5</t>
  </si>
  <si>
    <t>3.2.6</t>
  </si>
  <si>
    <t>3.2.7</t>
  </si>
  <si>
    <t>3.2.8</t>
  </si>
  <si>
    <t>3.2.9</t>
  </si>
  <si>
    <t>3.2.10</t>
  </si>
  <si>
    <t>3.4.2</t>
  </si>
  <si>
    <t>3.4.3</t>
  </si>
  <si>
    <t>3.4.4</t>
  </si>
  <si>
    <t>88316</t>
  </si>
  <si>
    <t>COMPOSIÇÃO 07</t>
  </si>
  <si>
    <t xml:space="preserve">Vinicius Ferreira Fava </t>
  </si>
  <si>
    <t>Crea: 121.286.161-2</t>
  </si>
  <si>
    <t>QUADRO RESUMO DE PISO TATIL</t>
  </si>
  <si>
    <t>Ext (m)</t>
  </si>
  <si>
    <t>lado esquerdo</t>
  </si>
  <si>
    <t>lado direito</t>
  </si>
  <si>
    <t>total</t>
  </si>
  <si>
    <t>PISO TATIL - ALERTA 25,00 X 25,00 CM</t>
  </si>
  <si>
    <t>ARGAMASSA TRAÇO 1:7 (EM VOLUME DE CIMENTO E AREIA MÉDIA ÚMIDA) COMPOSIÇÃO DE PLASTIFICANTE PARA EMBOÇO/MASSA ÚNICA/ASSENTAMENTO DE ALVENARIA
DE VEDAÇÃO, PREPARO MECÂNICO COM BETONEIRA 400 L. AF_08/2019</t>
  </si>
  <si>
    <t>=2,5*1,25</t>
  </si>
  <si>
    <r>
      <t xml:space="preserve">TRANSPORTE COM CAMINHÃO BASCULANTE DE 10 M3, EM VIA URBANA PAVIMENTADA , DMT ACIMA DE 30KM (UNIDADE: M3XKM). AF_04/2016 - </t>
    </r>
    <r>
      <rPr>
        <b/>
        <sz val="11"/>
        <rFont val="Times New Roman"/>
        <family val="1"/>
      </rPr>
      <t>MAT JAZIDA DMT 19,31 KM</t>
    </r>
  </si>
  <si>
    <r>
      <t>TRANSPORTE COM CAMINHÃO BASCULANTE DE 10 M3, EM VIA URBANA EM REVESTIM ENTO PRIMÁRIO (UNIDADE: M3XKM). AF_04/2016  -</t>
    </r>
    <r>
      <rPr>
        <b/>
        <sz val="11"/>
        <rFont val="Times New Roman"/>
        <family val="1"/>
      </rPr>
      <t xml:space="preserve"> MAT JAZIDA DMT= 1,16 KM</t>
    </r>
  </si>
  <si>
    <t>COTAÇÃO</t>
  </si>
  <si>
    <r>
      <t>FORNECIMENTO E IMPLANTAÇÃO DE PLACA DELINEADOR EM AÇO - 0,30 X 0,90 M - PELÍCULA RETRORREFLETIVA TIPO I + IV</t>
    </r>
    <r>
      <rPr>
        <b/>
        <sz val="11"/>
        <color theme="1"/>
        <rFont val="Times New Roman"/>
        <family val="1"/>
      </rPr>
      <t xml:space="preserve"> (NOME DE RUA)</t>
    </r>
  </si>
  <si>
    <t>SINAPI - MARÇO / 2020                                                                                                                               ANP - NOV/2019 (desonerado) SICRO OUT/2019</t>
  </si>
  <si>
    <t>4417</t>
  </si>
  <si>
    <t>4491</t>
  </si>
  <si>
    <t>PONTALETE DE MADEIRA NAO APARELHADA *7,5 X 7,5* CM (3 X 3 ") PINUS, MISTA OU EQUIVALENTE DA REGIAO</t>
  </si>
  <si>
    <t>4813</t>
  </si>
  <si>
    <t>PLACA DE OBRA (PARA CONSTRUCAO CIVIL) EM CHAPA GALVANIZADA *N. 22*, ADESIVADA, DE *2,0 X 1,125* M</t>
  </si>
  <si>
    <t>5075</t>
  </si>
  <si>
    <t>PREGO DE ACO POLIDO COM CABECA 18 X 30 (2 3/4 X 10)</t>
  </si>
  <si>
    <t>88262</t>
  </si>
  <si>
    <t>94962</t>
  </si>
  <si>
    <t>CONCRETO MAGRO PARA LASTRO, TRAÇO 1:4,5:4,5 (CIMENTO/ AREIA MÉDIA/ BRITA 1)  - PREPARO MECÂNICO COM BETONEIRA 400 L. AF_07/2016</t>
  </si>
  <si>
    <t>ANP - 02/2020</t>
  </si>
  <si>
    <t>REFERÊNCIA: SINAPI / 74209/001</t>
  </si>
  <si>
    <r>
      <t xml:space="preserve">TRANSPORTE DE MATERIAL ASFALTICO, COM CAMINHÃO COM CAPACIDADE DE 30000L EM RODOVIA PAVIMENTADA PARA DISTÂNCIAS MÉDIAS DE TRANSPORTE SUPERIORES A 100 KM. AF_02/2016 - </t>
    </r>
    <r>
      <rPr>
        <b/>
        <sz val="11"/>
        <rFont val="Times New Roman"/>
        <family val="1"/>
      </rPr>
      <t>DMT=180,0 KM - CUIABA À BARRA DO BUGRES</t>
    </r>
  </si>
  <si>
    <r>
      <t xml:space="preserve">TRANSPORTE COMERCIAL DE BRITA. </t>
    </r>
    <r>
      <rPr>
        <b/>
        <sz val="11"/>
        <rFont val="Times New Roman"/>
        <family val="1"/>
      </rPr>
      <t>DMT=  75,20 KM - JAZIDA - BARRA DO BUGRES</t>
    </r>
  </si>
  <si>
    <t>REGULARIZAÇÃO E COMPACTAÇÃO DE SUBLEITO DE SOLO PREDOMINANTEMENTE ARENOSO. AF_11/2019</t>
  </si>
  <si>
    <t>REFERENCIA: SINAPI -97807</t>
  </si>
  <si>
    <t>AREIA MEDIA - POSTO JAZIDA/FORNECEDOR (RETIRADO NA JAZIDA, SEM TRANSPORTE)</t>
  </si>
  <si>
    <t>PEDRA BRITADA N. 0, OU PEDRISCO (4,8 A 9,5 MM) POSTO PEDREIRA/FORNECEDOR, SEM FRETE</t>
  </si>
  <si>
    <t>PEDRA BRITADA N. 1 (9,5 a 19 MM) POSTO PEDREIRA/FORNECEDOR, SEM FRETE</t>
  </si>
  <si>
    <t>EMULSAO ASFALTICA CATIONICA RR-2C PARA USO EM PAVIMENTACAO ASFALTICA (COLETADO CAIXA NA ANP ACRESCIDO DE ICMS)</t>
  </si>
  <si>
    <t>TRATOR DE PNEUS, POTÊNCIA 85 CV, TRAÇÃO 4X4, PESO COM LASTRO DE 4.675 KG - CHP DIURNO. AF_06/2014</t>
  </si>
  <si>
    <t>TRATOR DE PNEUS, POTÊNCIA 85 CV, TRAÇÃO 4X4, PESO COM LASTRO DE 4.675 KG - CHI DIURNO. AF_06/2014</t>
  </si>
  <si>
    <t>CAMINHÃO BASCULANTE 10 M3, TRUCADO CABINE SIMPLES, PESO BRUTO TOTAL 23.000 KG, CARGA ÚTIL MÁXIMA 15.935 KG, DISTÂNCIA ENTRE EIXOS 4,80 M, POTÊNCIA 230 CV INCLUSIVE CAÇAMBA METÁLICA - CHP DIURNO. AF_06/2014</t>
  </si>
  <si>
    <t>0,0060000</t>
  </si>
  <si>
    <t>0,0073000</t>
  </si>
  <si>
    <t>0,0150000</t>
  </si>
  <si>
    <t>0,0010000</t>
  </si>
  <si>
    <t>0,0030000</t>
  </si>
  <si>
    <t>0,0040000</t>
  </si>
  <si>
    <t>0,0013000</t>
  </si>
  <si>
    <t>0,0322000</t>
  </si>
  <si>
    <t>0,0008000</t>
  </si>
  <si>
    <t>0,0033000</t>
  </si>
  <si>
    <t>0,0006000</t>
  </si>
  <si>
    <t>0,0027000</t>
  </si>
  <si>
    <t>370</t>
  </si>
  <si>
    <t>6879</t>
  </si>
  <si>
    <t>6880</t>
  </si>
  <si>
    <t>7030</t>
  </si>
  <si>
    <t>83362</t>
  </si>
  <si>
    <t>89035</t>
  </si>
  <si>
    <t>89036</t>
  </si>
  <si>
    <t>91386</t>
  </si>
  <si>
    <t>91486</t>
  </si>
  <si>
    <t>PAVIMENTO COM TRATAMENTO SUPERFICIAL DUPLO, COM EMULSÃO ASFÁLTICA RR-2C, COM CAPA SELANTE. AF_01/2020</t>
  </si>
  <si>
    <t>VASSOURA MECÂNICA REBOCÁVEL COM ESCOVA CILÍNDRICA, LARGURA ÚTIL DE VARRIMENTO DE 2,44 M - CHP DIURNO. AF_06/2014</t>
  </si>
  <si>
    <t>0,0020000</t>
  </si>
  <si>
    <t>VASSOURA MECÂNICA REBOCÁVEL COM ESCOVA CILÍNDRICA, LARGURA ÚTIL DE VARRIMENTO DE 2,44 M - CHI DIURNO. AF_06/2014</t>
  </si>
  <si>
    <t>ASFALTO DILUIDO DE PETROLEO CM-30 (COLETADO CAIXA NA ANP ACRESCIDO DE ICMS)</t>
  </si>
  <si>
    <t>0,0050000</t>
  </si>
  <si>
    <t>5839</t>
  </si>
  <si>
    <t>5841</t>
  </si>
  <si>
    <t>EXECUÇÃO DE IMPRIMAÇÃO COM ASFALTO DILUÍDO CM-30. AF_11/2019</t>
  </si>
  <si>
    <t>REFERENCIA: SINAPI - 96401</t>
  </si>
  <si>
    <t>ORÇAMENTO</t>
  </si>
  <si>
    <t>maio 2020</t>
  </si>
  <si>
    <t>Brita 1   (kg/m²)</t>
  </si>
  <si>
    <t>não apagar</t>
  </si>
  <si>
    <t>PEDRO</t>
  </si>
  <si>
    <t>ARTUR</t>
  </si>
  <si>
    <t>TAPAJOS</t>
  </si>
  <si>
    <t>PARE</t>
  </si>
  <si>
    <t>PEDESTRE</t>
  </si>
  <si>
    <t>ARAE</t>
  </si>
  <si>
    <t>TRANSPORTE COM CAMINHÃO BASCULANTE DE 10 M3, EM VIA URBANA EM REVESTIMENTO PRIMÁRIO (UNIDADE: M3XKM). AF_04/2016</t>
  </si>
  <si>
    <t xml:space="preserve">valor fechado a menor </t>
  </si>
  <si>
    <t>OBSERVAÇÃO: SERA DESCONTADO DA AREA DE CALÇADA NOS TRECHOS DE LIMPA RODAS UM QUANTITATIVO UNITARIO DE 1,93 m² POR LADO DE RUAS, EM FUNÇÃO DA CURVATURA.</t>
  </si>
  <si>
    <t>SUB-BASE DE SOLO ESTABILIZADO GRANULOMETRICAMENTE SEM MISTURA COM MATERIAL DE JAZIDA</t>
  </si>
  <si>
    <t>BASE ESTABILIZADA GRANULOMETRICAMENTE COM MISTURA DE SOLOS NA PISTA COM MATERIAL DE JAZIDA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</si>
</sst>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#.##000##"/>
    <numFmt numFmtId="166" formatCode="##.##000"/>
    <numFmt numFmtId="167" formatCode="_(* #,##0_);_(* \(#,##0\);_(* &quot;-&quot;??_);_(@_)"/>
    <numFmt numFmtId="168" formatCode="0.0%"/>
    <numFmt numFmtId="169" formatCode="0.0"/>
    <numFmt numFmtId="170" formatCode="#,##0.00000"/>
    <numFmt numFmtId="171" formatCode="0.00000"/>
    <numFmt numFmtId="172" formatCode="#,##0.00000000000"/>
    <numFmt numFmtId="173" formatCode="#,##0.000000"/>
    <numFmt numFmtId="174" formatCode="###,###,##0.00\ "/>
    <numFmt numFmtId="175" formatCode="#,##0.00_ ;[Red]\-#,##0.00\ "/>
    <numFmt numFmtId="176" formatCode="#,##0.000000000000_ ;[Red]\-#,##0.000000000000\ "/>
    <numFmt numFmtId="177" formatCode="_(* #,##0.000_);_(* \(#,##0.000\);_(* &quot;-&quot;???_);_(@_)"/>
    <numFmt numFmtId="178" formatCode="0.000"/>
    <numFmt numFmtId="179" formatCode="_(* #,##0.000_);_(* \(#,##0.000\);_(* &quot;-&quot;??_);_(@_)"/>
    <numFmt numFmtId="180" formatCode="_(* #,##0.00_);_(* \(#,##0.00\);_(* &quot;-&quot;???_);_(@_)"/>
    <numFmt numFmtId="181" formatCode="_-* #,##0.000_-;\-* #,##0.000_-;_-* &quot;-&quot;???_-;_-@_-"/>
    <numFmt numFmtId="182" formatCode="#,##0.0000000"/>
    <numFmt numFmtId="183" formatCode="###,###,##0.000\ "/>
    <numFmt numFmtId="184" formatCode="#,##0.000"/>
    <numFmt numFmtId="185" formatCode="_-* #,##0_-;\-* #,##0_-;_-* &quot;-&quot;??_-;_-@_-"/>
    <numFmt numFmtId="186" formatCode="#,##0.0"/>
    <numFmt numFmtId="187" formatCode="0.000000000%"/>
    <numFmt numFmtId="188" formatCode="_(* #,##0.000000_);_(* \(#,##0.000000\);_(* &quot;-&quot;??_);_(@_)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name val="Times New Roman"/>
      <family val="1"/>
    </font>
    <font>
      <b/>
      <i/>
      <sz val="10"/>
      <name val="Arial"/>
      <family val="2"/>
    </font>
    <font>
      <b/>
      <sz val="9"/>
      <name val="Times New Roman"/>
      <family val="1"/>
    </font>
    <font>
      <sz val="16"/>
      <name val="Times New Roman"/>
      <family val="1"/>
    </font>
    <font>
      <i/>
      <sz val="10"/>
      <name val="Calibri"/>
      <family val="2"/>
    </font>
    <font>
      <sz val="10"/>
      <name val="Calibri"/>
      <family val="2"/>
    </font>
    <font>
      <i/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name val="Arial"/>
      <family val="2"/>
    </font>
    <font>
      <sz val="8"/>
      <color rgb="FF000080"/>
      <name val="Arial"/>
      <family val="2"/>
    </font>
    <font>
      <b/>
      <sz val="10"/>
      <color indexed="12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7" fillId="0" borderId="0"/>
    <xf numFmtId="0" fontId="4" fillId="0" borderId="0"/>
    <xf numFmtId="0" fontId="30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9" fontId="3" fillId="0" borderId="0" applyFont="0" applyFill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8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8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13" borderId="0" applyNumberFormat="0" applyBorder="0" applyAlignment="0" applyProtection="0"/>
    <xf numFmtId="0" fontId="58" fillId="25" borderId="0" applyNumberFormat="0" applyBorder="0" applyAlignment="0" applyProtection="0"/>
    <xf numFmtId="0" fontId="58" fillId="19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5" borderId="0" applyNumberFormat="0" applyBorder="0" applyAlignment="0" applyProtection="0"/>
    <xf numFmtId="0" fontId="59" fillId="10" borderId="0" applyNumberFormat="0" applyBorder="0" applyAlignment="0" applyProtection="0"/>
    <xf numFmtId="0" fontId="63" fillId="13" borderId="0" applyNumberFormat="0" applyBorder="0" applyAlignment="0" applyProtection="0"/>
    <xf numFmtId="0" fontId="60" fillId="29" borderId="98" applyNumberFormat="0" applyAlignment="0" applyProtection="0"/>
    <xf numFmtId="0" fontId="74" fillId="30" borderId="98" applyNumberFormat="0" applyAlignment="0" applyProtection="0"/>
    <xf numFmtId="0" fontId="61" fillId="31" borderId="99" applyNumberFormat="0" applyAlignment="0" applyProtection="0"/>
    <xf numFmtId="0" fontId="73" fillId="0" borderId="100" applyNumberFormat="0" applyFill="0" applyAlignment="0" applyProtection="0"/>
    <xf numFmtId="0" fontId="61" fillId="31" borderId="99" applyNumberFormat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19" borderId="0" applyNumberFormat="0" applyBorder="0" applyAlignment="0" applyProtection="0"/>
    <xf numFmtId="0" fontId="58" fillId="33" borderId="0" applyNumberFormat="0" applyBorder="0" applyAlignment="0" applyProtection="0"/>
    <xf numFmtId="0" fontId="58" fillId="23" borderId="0" applyNumberFormat="0" applyBorder="0" applyAlignment="0" applyProtection="0"/>
    <xf numFmtId="0" fontId="58" fillId="27" borderId="0" applyNumberFormat="0" applyBorder="0" applyAlignment="0" applyProtection="0"/>
    <xf numFmtId="0" fontId="67" fillId="20" borderId="98" applyNumberFormat="0" applyAlignment="0" applyProtection="0"/>
    <xf numFmtId="0" fontId="62" fillId="0" borderId="0" applyNumberFormat="0" applyFill="0" applyBorder="0" applyAlignment="0" applyProtection="0"/>
    <xf numFmtId="0" fontId="63" fillId="11" borderId="0" applyNumberFormat="0" applyBorder="0" applyAlignment="0" applyProtection="0"/>
    <xf numFmtId="0" fontId="64" fillId="0" borderId="101" applyNumberFormat="0" applyFill="0" applyAlignment="0" applyProtection="0"/>
    <xf numFmtId="0" fontId="65" fillId="0" borderId="102" applyNumberFormat="0" applyFill="0" applyAlignment="0" applyProtection="0"/>
    <xf numFmtId="0" fontId="66" fillId="0" borderId="103" applyNumberFormat="0" applyFill="0" applyAlignment="0" applyProtection="0"/>
    <xf numFmtId="0" fontId="66" fillId="0" borderId="0" applyNumberFormat="0" applyFill="0" applyBorder="0" applyAlignment="0" applyProtection="0"/>
    <xf numFmtId="0" fontId="59" fillId="12" borderId="0" applyNumberFormat="0" applyBorder="0" applyAlignment="0" applyProtection="0"/>
    <xf numFmtId="0" fontId="67" fillId="14" borderId="98" applyNumberFormat="0" applyAlignment="0" applyProtection="0"/>
    <xf numFmtId="0" fontId="68" fillId="0" borderId="104" applyNumberFormat="0" applyFill="0" applyAlignment="0" applyProtection="0"/>
    <xf numFmtId="0" fontId="75" fillId="20" borderId="0" applyNumberFormat="0" applyBorder="0" applyAlignment="0" applyProtection="0"/>
    <xf numFmtId="0" fontId="69" fillId="20" borderId="0" applyNumberFormat="0" applyBorder="0" applyAlignment="0" applyProtection="0"/>
    <xf numFmtId="0" fontId="57" fillId="17" borderId="105" applyNumberFormat="0" applyFont="0" applyAlignment="0" applyProtection="0"/>
    <xf numFmtId="0" fontId="27" fillId="17" borderId="105" applyNumberFormat="0" applyFont="0" applyAlignment="0" applyProtection="0"/>
    <xf numFmtId="0" fontId="70" fillId="29" borderId="106" applyNumberFormat="0" applyAlignment="0" applyProtection="0"/>
    <xf numFmtId="0" fontId="70" fillId="30" borderId="106" applyNumberFormat="0" applyAlignment="0" applyProtection="0"/>
    <xf numFmtId="0" fontId="7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07" applyNumberFormat="0" applyFill="0" applyAlignment="0" applyProtection="0"/>
    <xf numFmtId="0" fontId="78" fillId="0" borderId="108" applyNumberFormat="0" applyFill="0" applyAlignment="0" applyProtection="0"/>
    <xf numFmtId="0" fontId="79" fillId="0" borderId="109" applyNumberFormat="0" applyFill="0" applyAlignment="0" applyProtection="0"/>
    <xf numFmtId="0" fontId="79" fillId="0" borderId="0" applyNumberFormat="0" applyFill="0" applyBorder="0" applyAlignment="0" applyProtection="0"/>
    <xf numFmtId="0" fontId="72" fillId="0" borderId="110" applyNumberFormat="0" applyFill="0" applyAlignment="0" applyProtection="0"/>
    <xf numFmtId="0" fontId="73" fillId="0" borderId="0" applyNumberFormat="0" applyFill="0" applyBorder="0" applyAlignment="0" applyProtection="0"/>
    <xf numFmtId="0" fontId="3" fillId="0" borderId="0"/>
    <xf numFmtId="0" fontId="3" fillId="17" borderId="105" applyNumberFormat="0" applyFont="0" applyAlignment="0" applyProtection="0"/>
    <xf numFmtId="0" fontId="3" fillId="0" borderId="0"/>
    <xf numFmtId="0" fontId="2" fillId="0" borderId="0"/>
    <xf numFmtId="44" fontId="27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60">
    <xf numFmtId="0" fontId="0" fillId="0" borderId="0" xfId="0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/>
    <xf numFmtId="165" fontId="13" fillId="0" borderId="0" xfId="0" applyNumberFormat="1" applyFont="1" applyFill="1" applyAlignment="1">
      <alignment horizontal="right" vertical="center"/>
    </xf>
    <xf numFmtId="166" fontId="1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32" fillId="0" borderId="0" xfId="0" applyNumberFormat="1" applyFont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vertical="center"/>
    </xf>
    <xf numFmtId="10" fontId="13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0" fillId="0" borderId="25" xfId="9" applyFont="1" applyFill="1" applyBorder="1" applyAlignment="1">
      <alignment vertical="center"/>
    </xf>
    <xf numFmtId="164" fontId="0" fillId="0" borderId="25" xfId="9" quotePrefix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ill="1"/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33" fillId="0" borderId="0" xfId="0" applyFont="1"/>
    <xf numFmtId="4" fontId="33" fillId="0" borderId="0" xfId="0" applyNumberFormat="1" applyFont="1"/>
    <xf numFmtId="0" fontId="25" fillId="0" borderId="0" xfId="0" applyFont="1"/>
    <xf numFmtId="164" fontId="10" fillId="0" borderId="31" xfId="8" applyFont="1" applyFill="1" applyBorder="1" applyAlignment="1">
      <alignment vertical="center"/>
    </xf>
    <xf numFmtId="0" fontId="10" fillId="0" borderId="31" xfId="0" applyFont="1" applyFill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171" fontId="33" fillId="0" borderId="0" xfId="0" applyNumberFormat="1" applyFont="1"/>
    <xf numFmtId="0" fontId="41" fillId="3" borderId="13" xfId="1" applyFont="1" applyFill="1" applyBorder="1" applyAlignment="1">
      <alignment horizontal="center" vertical="center"/>
    </xf>
    <xf numFmtId="0" fontId="42" fillId="3" borderId="13" xfId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4" fontId="14" fillId="0" borderId="0" xfId="2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4" fontId="33" fillId="0" borderId="0" xfId="0" applyNumberFormat="1" applyFont="1" applyBorder="1"/>
    <xf numFmtId="0" fontId="46" fillId="0" borderId="0" xfId="0" applyFont="1" applyAlignment="1"/>
    <xf numFmtId="164" fontId="0" fillId="0" borderId="0" xfId="0" applyNumberFormat="1"/>
    <xf numFmtId="4" fontId="10" fillId="0" borderId="31" xfId="0" applyNumberFormat="1" applyFont="1" applyBorder="1" applyAlignment="1">
      <alignment horizontal="center" vertical="center"/>
    </xf>
    <xf numFmtId="0" fontId="0" fillId="0" borderId="0" xfId="0"/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right"/>
    </xf>
    <xf numFmtId="40" fontId="5" fillId="0" borderId="0" xfId="7" applyNumberFormat="1" applyFont="1" applyFill="1" applyBorder="1" applyAlignment="1"/>
    <xf numFmtId="40" fontId="47" fillId="0" borderId="0" xfId="7" applyNumberFormat="1" applyFont="1" applyFill="1" applyBorder="1" applyAlignment="1"/>
    <xf numFmtId="0" fontId="0" fillId="0" borderId="0" xfId="0" applyFill="1" applyBorder="1"/>
    <xf numFmtId="0" fontId="0" fillId="0" borderId="0" xfId="0" applyFill="1" applyAlignment="1">
      <alignment horizontal="right"/>
    </xf>
    <xf numFmtId="40" fontId="48" fillId="0" borderId="56" xfId="7" applyNumberFormat="1" applyFont="1" applyFill="1" applyBorder="1" applyAlignment="1">
      <alignment horizontal="center"/>
    </xf>
    <xf numFmtId="40" fontId="49" fillId="0" borderId="63" xfId="7" applyNumberFormat="1" applyFont="1" applyFill="1" applyBorder="1" applyAlignment="1"/>
    <xf numFmtId="40" fontId="48" fillId="0" borderId="53" xfId="7" applyNumberFormat="1" applyFont="1" applyFill="1" applyBorder="1" applyAlignment="1">
      <alignment horizontal="center"/>
    </xf>
    <xf numFmtId="0" fontId="36" fillId="0" borderId="54" xfId="0" applyFont="1" applyFill="1" applyBorder="1" applyAlignment="1">
      <alignment horizontal="right"/>
    </xf>
    <xf numFmtId="1" fontId="48" fillId="0" borderId="48" xfId="0" applyNumberFormat="1" applyFont="1" applyBorder="1" applyAlignment="1"/>
    <xf numFmtId="1" fontId="48" fillId="0" borderId="45" xfId="0" applyNumberFormat="1" applyFont="1" applyBorder="1" applyAlignment="1">
      <alignment horizontal="left"/>
    </xf>
    <xf numFmtId="1" fontId="48" fillId="0" borderId="45" xfId="0" applyNumberFormat="1" applyFont="1" applyBorder="1" applyAlignment="1"/>
    <xf numFmtId="1" fontId="48" fillId="0" borderId="45" xfId="0" applyNumberFormat="1" applyFont="1" applyFill="1" applyBorder="1" applyAlignment="1">
      <alignment horizontal="center"/>
    </xf>
    <xf numFmtId="40" fontId="48" fillId="0" borderId="49" xfId="7" applyNumberFormat="1" applyFont="1" applyFill="1" applyBorder="1"/>
    <xf numFmtId="40" fontId="48" fillId="0" borderId="20" xfId="7" applyNumberFormat="1" applyFont="1" applyBorder="1" applyAlignment="1">
      <alignment horizontal="center"/>
    </xf>
    <xf numFmtId="40" fontId="50" fillId="0" borderId="51" xfId="7" applyNumberFormat="1" applyFont="1" applyFill="1" applyBorder="1"/>
    <xf numFmtId="40" fontId="50" fillId="0" borderId="20" xfId="7" applyNumberFormat="1" applyFont="1" applyBorder="1" applyAlignment="1">
      <alignment horizontal="center"/>
    </xf>
    <xf numFmtId="40" fontId="50" fillId="0" borderId="20" xfId="7" applyNumberFormat="1" applyFont="1" applyFill="1" applyBorder="1"/>
    <xf numFmtId="175" fontId="0" fillId="0" borderId="0" xfId="0" applyNumberFormat="1"/>
    <xf numFmtId="1" fontId="50" fillId="0" borderId="50" xfId="0" applyNumberFormat="1" applyFont="1" applyBorder="1" applyAlignment="1"/>
    <xf numFmtId="1" fontId="50" fillId="0" borderId="20" xfId="0" applyNumberFormat="1" applyFont="1" applyBorder="1" applyAlignment="1">
      <alignment horizontal="left"/>
    </xf>
    <xf numFmtId="40" fontId="50" fillId="0" borderId="20" xfId="7" applyNumberFormat="1" applyFont="1" applyFill="1" applyBorder="1" applyAlignment="1">
      <alignment horizontal="right"/>
    </xf>
    <xf numFmtId="40" fontId="50" fillId="0" borderId="50" xfId="7" applyNumberFormat="1" applyFont="1" applyBorder="1"/>
    <xf numFmtId="40" fontId="50" fillId="0" borderId="20" xfId="7" applyNumberFormat="1" applyFont="1" applyBorder="1" applyAlignment="1">
      <alignment horizontal="left"/>
    </xf>
    <xf numFmtId="40" fontId="50" fillId="0" borderId="20" xfId="7" applyNumberFormat="1" applyFont="1" applyBorder="1"/>
    <xf numFmtId="0" fontId="36" fillId="0" borderId="20" xfId="0" applyFont="1" applyBorder="1"/>
    <xf numFmtId="0" fontId="50" fillId="0" borderId="52" xfId="0" applyFont="1" applyBorder="1"/>
    <xf numFmtId="0" fontId="50" fillId="0" borderId="53" xfId="0" applyFont="1" applyBorder="1" applyAlignment="1">
      <alignment horizontal="left"/>
    </xf>
    <xf numFmtId="0" fontId="50" fillId="0" borderId="53" xfId="0" applyFont="1" applyBorder="1"/>
    <xf numFmtId="40" fontId="50" fillId="0" borderId="53" xfId="7" applyNumberFormat="1" applyFont="1" applyBorder="1"/>
    <xf numFmtId="0" fontId="36" fillId="0" borderId="53" xfId="0" applyFont="1" applyBorder="1"/>
    <xf numFmtId="43" fontId="0" fillId="0" borderId="0" xfId="0" applyNumberFormat="1" applyFill="1"/>
    <xf numFmtId="40" fontId="0" fillId="0" borderId="0" xfId="0" applyNumberFormat="1" applyFill="1" applyBorder="1"/>
    <xf numFmtId="175" fontId="0" fillId="0" borderId="0" xfId="0" applyNumberFormat="1" applyFill="1" applyAlignment="1">
      <alignment horizontal="right"/>
    </xf>
    <xf numFmtId="40" fontId="47" fillId="0" borderId="0" xfId="0" applyNumberFormat="1" applyFont="1" applyFill="1" applyBorder="1"/>
    <xf numFmtId="175" fontId="0" fillId="0" borderId="0" xfId="0" applyNumberFormat="1" applyFill="1"/>
    <xf numFmtId="43" fontId="0" fillId="0" borderId="0" xfId="7" applyNumberFormat="1" applyFont="1" applyFill="1"/>
    <xf numFmtId="43" fontId="0" fillId="0" borderId="20" xfId="7" applyNumberFormat="1" applyFont="1" applyFill="1" applyBorder="1"/>
    <xf numFmtId="176" fontId="51" fillId="0" borderId="20" xfId="7" applyNumberFormat="1" applyFont="1" applyFill="1" applyBorder="1"/>
    <xf numFmtId="0" fontId="52" fillId="0" borderId="0" xfId="0" applyFont="1"/>
    <xf numFmtId="0" fontId="0" fillId="0" borderId="0" xfId="0"/>
    <xf numFmtId="0" fontId="12" fillId="0" borderId="0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7" fillId="0" borderId="1" xfId="2" applyFont="1" applyFill="1" applyBorder="1"/>
    <xf numFmtId="0" fontId="7" fillId="0" borderId="43" xfId="2" applyFont="1" applyFill="1" applyBorder="1"/>
    <xf numFmtId="0" fontId="12" fillId="0" borderId="3" xfId="2" applyFont="1" applyFill="1" applyBorder="1" applyAlignment="1">
      <alignment horizontal="right"/>
    </xf>
    <xf numFmtId="0" fontId="12" fillId="0" borderId="53" xfId="2" applyFont="1" applyFill="1" applyBorder="1" applyAlignment="1">
      <alignment horizontal="right"/>
    </xf>
    <xf numFmtId="4" fontId="12" fillId="0" borderId="3" xfId="2" applyNumberFormat="1" applyFont="1" applyFill="1" applyBorder="1" applyAlignment="1">
      <alignment horizontal="left"/>
    </xf>
    <xf numFmtId="0" fontId="4" fillId="0" borderId="3" xfId="2" applyBorder="1"/>
    <xf numFmtId="0" fontId="0" fillId="0" borderId="80" xfId="0" applyFill="1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0" xfId="0" applyAlignment="1">
      <alignment vertical="center"/>
    </xf>
    <xf numFmtId="0" fontId="31" fillId="0" borderId="12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164" fontId="38" fillId="5" borderId="27" xfId="9" applyFont="1" applyFill="1" applyBorder="1" applyAlignment="1">
      <alignment vertical="center"/>
    </xf>
    <xf numFmtId="0" fontId="0" fillId="0" borderId="27" xfId="0" quotePrefix="1" applyBorder="1" applyAlignment="1">
      <alignment horizontal="center" vertical="center"/>
    </xf>
    <xf numFmtId="2" fontId="38" fillId="0" borderId="27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4" fillId="0" borderId="25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164" fontId="38" fillId="0" borderId="25" xfId="9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quotePrefix="1" applyBorder="1" applyAlignment="1">
      <alignment horizontal="center" vertical="center"/>
    </xf>
    <xf numFmtId="2" fontId="38" fillId="0" borderId="25" xfId="0" applyNumberFormat="1" applyFont="1" applyBorder="1" applyAlignment="1">
      <alignment vertical="center"/>
    </xf>
    <xf numFmtId="164" fontId="0" fillId="0" borderId="27" xfId="9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2" fontId="30" fillId="0" borderId="21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80" xfId="0" applyBorder="1" applyAlignment="1">
      <alignment vertical="center"/>
    </xf>
    <xf numFmtId="0" fontId="31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4" fillId="0" borderId="79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4" fillId="0" borderId="66" xfId="0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38" fillId="0" borderId="25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3" borderId="25" xfId="9" applyFont="1" applyFill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2" fontId="0" fillId="0" borderId="25" xfId="0" applyNumberFormat="1" applyBorder="1" applyAlignment="1">
      <alignment horizontal="center" vertical="center"/>
    </xf>
    <xf numFmtId="2" fontId="0" fillId="3" borderId="25" xfId="0" applyNumberFormat="1" applyFill="1" applyBorder="1" applyAlignment="1">
      <alignment vertical="center"/>
    </xf>
    <xf numFmtId="164" fontId="0" fillId="0" borderId="25" xfId="9" applyFon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9" applyFont="1" applyBorder="1" applyAlignment="1">
      <alignment horizontal="center" vertical="center"/>
    </xf>
    <xf numFmtId="2" fontId="0" fillId="3" borderId="0" xfId="0" applyNumberFormat="1" applyFill="1" applyBorder="1" applyAlignment="1">
      <alignment vertical="center"/>
    </xf>
    <xf numFmtId="0" fontId="38" fillId="0" borderId="79" xfId="0" applyFont="1" applyBorder="1" applyAlignment="1">
      <alignment vertical="center"/>
    </xf>
    <xf numFmtId="0" fontId="0" fillId="0" borderId="60" xfId="0" applyBorder="1" applyAlignment="1">
      <alignment vertical="center"/>
    </xf>
    <xf numFmtId="4" fontId="38" fillId="0" borderId="25" xfId="0" applyNumberFormat="1" applyFont="1" applyBorder="1" applyAlignment="1">
      <alignment vertical="center"/>
    </xf>
    <xf numFmtId="4" fontId="0" fillId="0" borderId="25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3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8" fillId="0" borderId="81" xfId="0" applyFont="1" applyBorder="1" applyAlignment="1">
      <alignment vertical="center"/>
    </xf>
    <xf numFmtId="0" fontId="18" fillId="0" borderId="68" xfId="0" applyFont="1" applyBorder="1" applyAlignment="1">
      <alignment vertical="center"/>
    </xf>
    <xf numFmtId="164" fontId="39" fillId="0" borderId="68" xfId="9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2" fontId="33" fillId="0" borderId="20" xfId="0" applyNumberFormat="1" applyFont="1" applyFill="1" applyBorder="1" applyAlignment="1">
      <alignment horizontal="right" vertical="center" wrapText="1"/>
    </xf>
    <xf numFmtId="0" fontId="33" fillId="0" borderId="51" xfId="0" applyFont="1" applyBorder="1" applyAlignment="1">
      <alignment horizontal="center" vertical="center"/>
    </xf>
    <xf numFmtId="2" fontId="30" fillId="0" borderId="0" xfId="0" applyNumberFormat="1" applyFont="1" applyFill="1" applyBorder="1" applyAlignment="1">
      <alignment vertical="center"/>
    </xf>
    <xf numFmtId="164" fontId="33" fillId="0" borderId="2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vertical="center"/>
    </xf>
    <xf numFmtId="0" fontId="33" fillId="0" borderId="53" xfId="0" applyFont="1" applyBorder="1" applyAlignment="1">
      <alignment horizontal="center" vertical="center"/>
    </xf>
    <xf numFmtId="164" fontId="33" fillId="0" borderId="53" xfId="0" applyNumberFormat="1" applyFont="1" applyFill="1" applyBorder="1" applyAlignment="1">
      <alignment horizontal="right" vertical="center" wrapText="1"/>
    </xf>
    <xf numFmtId="0" fontId="33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1" fillId="3" borderId="13" xfId="1" applyFont="1" applyFill="1" applyBorder="1" applyAlignment="1">
      <alignment vertical="center"/>
    </xf>
    <xf numFmtId="173" fontId="42" fillId="3" borderId="13" xfId="1" applyNumberFormat="1" applyFont="1" applyFill="1" applyBorder="1" applyAlignment="1">
      <alignment vertical="center"/>
    </xf>
    <xf numFmtId="174" fontId="42" fillId="3" borderId="13" xfId="1" applyNumberFormat="1" applyFont="1" applyFill="1" applyBorder="1" applyAlignment="1">
      <alignment vertical="center"/>
    </xf>
    <xf numFmtId="170" fontId="42" fillId="3" borderId="13" xfId="1" applyNumberFormat="1" applyFont="1" applyFill="1" applyBorder="1" applyAlignment="1">
      <alignment vertical="center"/>
    </xf>
    <xf numFmtId="174" fontId="42" fillId="0" borderId="13" xfId="1" applyNumberFormat="1" applyFont="1" applyFill="1" applyBorder="1" applyAlignment="1">
      <alignment vertical="center"/>
    </xf>
    <xf numFmtId="10" fontId="41" fillId="3" borderId="13" xfId="1" applyNumberFormat="1" applyFont="1" applyFill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41" fillId="3" borderId="32" xfId="1" applyFont="1" applyFill="1" applyBorder="1" applyAlignment="1">
      <alignment horizontal="center" vertical="center"/>
    </xf>
    <xf numFmtId="0" fontId="41" fillId="3" borderId="73" xfId="1" applyFont="1" applyFill="1" applyBorder="1" applyAlignment="1">
      <alignment horizontal="center" vertical="center"/>
    </xf>
    <xf numFmtId="4" fontId="41" fillId="3" borderId="73" xfId="1" applyNumberFormat="1" applyFont="1" applyFill="1" applyBorder="1" applyAlignment="1">
      <alignment horizontal="center" vertical="center"/>
    </xf>
    <xf numFmtId="0" fontId="41" fillId="3" borderId="74" xfId="1" applyFont="1" applyFill="1" applyBorder="1" applyAlignment="1">
      <alignment horizontal="center" vertical="center"/>
    </xf>
    <xf numFmtId="0" fontId="15" fillId="3" borderId="34" xfId="1" applyFont="1" applyFill="1" applyBorder="1" applyAlignment="1">
      <alignment horizontal="center" vertical="center"/>
    </xf>
    <xf numFmtId="174" fontId="42" fillId="3" borderId="69" xfId="1" applyNumberFormat="1" applyFont="1" applyFill="1" applyBorder="1" applyAlignment="1">
      <alignment vertical="center"/>
    </xf>
    <xf numFmtId="0" fontId="41" fillId="3" borderId="70" xfId="1" applyFont="1" applyFill="1" applyBorder="1" applyAlignment="1">
      <alignment horizontal="center" vertical="center"/>
    </xf>
    <xf numFmtId="0" fontId="41" fillId="3" borderId="71" xfId="1" applyFont="1" applyFill="1" applyBorder="1" applyAlignment="1">
      <alignment vertical="center"/>
    </xf>
    <xf numFmtId="4" fontId="41" fillId="3" borderId="71" xfId="1" applyNumberFormat="1" applyFont="1" applyFill="1" applyBorder="1" applyAlignment="1">
      <alignment vertical="center"/>
    </xf>
    <xf numFmtId="174" fontId="41" fillId="3" borderId="72" xfId="1" applyNumberFormat="1" applyFont="1" applyFill="1" applyBorder="1" applyAlignment="1">
      <alignment vertical="center"/>
    </xf>
    <xf numFmtId="0" fontId="41" fillId="3" borderId="14" xfId="1" applyFont="1" applyFill="1" applyBorder="1" applyAlignment="1">
      <alignment horizontal="center" vertical="center"/>
    </xf>
    <xf numFmtId="0" fontId="41" fillId="3" borderId="14" xfId="1" applyFont="1" applyFill="1" applyBorder="1" applyAlignment="1">
      <alignment vertical="center"/>
    </xf>
    <xf numFmtId="0" fontId="41" fillId="3" borderId="73" xfId="1" applyFont="1" applyFill="1" applyBorder="1" applyAlignment="1">
      <alignment vertical="center"/>
    </xf>
    <xf numFmtId="4" fontId="41" fillId="3" borderId="73" xfId="1" applyNumberFormat="1" applyFont="1" applyFill="1" applyBorder="1" applyAlignment="1">
      <alignment vertical="center"/>
    </xf>
    <xf numFmtId="0" fontId="41" fillId="3" borderId="74" xfId="1" applyFont="1" applyFill="1" applyBorder="1" applyAlignment="1">
      <alignment vertical="center"/>
    </xf>
    <xf numFmtId="0" fontId="42" fillId="0" borderId="34" xfId="1" applyFont="1" applyFill="1" applyBorder="1" applyAlignment="1">
      <alignment horizontal="center" vertical="center" wrapText="1"/>
    </xf>
    <xf numFmtId="0" fontId="41" fillId="3" borderId="44" xfId="1" applyFont="1" applyFill="1" applyBorder="1" applyAlignment="1">
      <alignment vertical="center"/>
    </xf>
    <xf numFmtId="0" fontId="41" fillId="3" borderId="84" xfId="1" applyFont="1" applyFill="1" applyBorder="1" applyAlignment="1">
      <alignment horizontal="center" vertical="center"/>
    </xf>
    <xf numFmtId="0" fontId="41" fillId="3" borderId="85" xfId="1" applyFont="1" applyFill="1" applyBorder="1" applyAlignment="1">
      <alignment vertical="center"/>
    </xf>
    <xf numFmtId="174" fontId="41" fillId="3" borderId="86" xfId="1" applyNumberFormat="1" applyFont="1" applyFill="1" applyBorder="1" applyAlignment="1">
      <alignment vertical="center"/>
    </xf>
    <xf numFmtId="0" fontId="41" fillId="3" borderId="76" xfId="1" applyFont="1" applyFill="1" applyBorder="1" applyAlignment="1">
      <alignment horizontal="center" vertical="center"/>
    </xf>
    <xf numFmtId="174" fontId="41" fillId="3" borderId="75" xfId="1" applyNumberFormat="1" applyFont="1" applyFill="1" applyBorder="1" applyAlignment="1">
      <alignment vertical="center"/>
    </xf>
    <xf numFmtId="0" fontId="41" fillId="3" borderId="34" xfId="1" applyFont="1" applyFill="1" applyBorder="1" applyAlignment="1">
      <alignment horizontal="center" vertical="center"/>
    </xf>
    <xf numFmtId="174" fontId="41" fillId="3" borderId="69" xfId="1" applyNumberFormat="1" applyFont="1" applyFill="1" applyBorder="1" applyAlignment="1">
      <alignment vertical="center"/>
    </xf>
    <xf numFmtId="0" fontId="41" fillId="3" borderId="71" xfId="1" applyFont="1" applyFill="1" applyBorder="1" applyAlignment="1">
      <alignment horizontal="center" vertical="center"/>
    </xf>
    <xf numFmtId="0" fontId="42" fillId="3" borderId="34" xfId="1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41" fillId="3" borderId="37" xfId="1" applyFont="1" applyFill="1" applyBorder="1" applyAlignment="1">
      <alignment horizontal="center" vertical="center"/>
    </xf>
    <xf numFmtId="174" fontId="41" fillId="3" borderId="87" xfId="1" applyNumberFormat="1" applyFont="1" applyFill="1" applyBorder="1" applyAlignment="1">
      <alignment vertical="center"/>
    </xf>
    <xf numFmtId="0" fontId="41" fillId="3" borderId="44" xfId="1" applyFont="1" applyFill="1" applyBorder="1" applyAlignment="1">
      <alignment horizontal="center" vertical="center"/>
    </xf>
    <xf numFmtId="0" fontId="41" fillId="3" borderId="85" xfId="1" applyFont="1" applyFill="1" applyBorder="1" applyAlignment="1">
      <alignment horizontal="center" vertical="center"/>
    </xf>
    <xf numFmtId="0" fontId="41" fillId="3" borderId="75" xfId="1" applyFont="1" applyFill="1" applyBorder="1" applyAlignment="1">
      <alignment horizontal="center" vertical="center"/>
    </xf>
    <xf numFmtId="0" fontId="28" fillId="0" borderId="88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4" fontId="35" fillId="0" borderId="13" xfId="2" applyNumberFormat="1" applyFont="1" applyFill="1" applyBorder="1" applyAlignment="1">
      <alignment horizontal="left" vertical="center"/>
    </xf>
    <xf numFmtId="4" fontId="37" fillId="0" borderId="13" xfId="2" applyNumberFormat="1" applyFont="1" applyFill="1" applyBorder="1" applyAlignment="1">
      <alignment vertical="center"/>
    </xf>
    <xf numFmtId="0" fontId="37" fillId="0" borderId="13" xfId="2" applyNumberFormat="1" applyFont="1" applyFill="1" applyBorder="1" applyAlignment="1">
      <alignment horizontal="center" vertical="center"/>
    </xf>
    <xf numFmtId="0" fontId="37" fillId="0" borderId="13" xfId="2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/>
    </xf>
    <xf numFmtId="4" fontId="12" fillId="0" borderId="13" xfId="2" applyNumberFormat="1" applyFont="1" applyFill="1" applyBorder="1" applyAlignment="1">
      <alignment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/>
    </xf>
    <xf numFmtId="0" fontId="37" fillId="0" borderId="69" xfId="2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45" fillId="0" borderId="0" xfId="0" applyFont="1" applyAlignment="1">
      <alignment vertical="center"/>
    </xf>
    <xf numFmtId="164" fontId="45" fillId="0" borderId="0" xfId="7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10" fontId="33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24" fillId="0" borderId="0" xfId="2" applyFont="1" applyBorder="1" applyAlignment="1">
      <alignment horizontal="center" vertical="center"/>
    </xf>
    <xf numFmtId="4" fontId="24" fillId="0" borderId="0" xfId="2" applyNumberFormat="1" applyFont="1" applyBorder="1" applyAlignment="1">
      <alignment horizontal="center" vertical="center"/>
    </xf>
    <xf numFmtId="4" fontId="24" fillId="0" borderId="0" xfId="2" applyNumberFormat="1" applyFont="1" applyBorder="1" applyAlignment="1">
      <alignment vertical="center"/>
    </xf>
    <xf numFmtId="181" fontId="4" fillId="3" borderId="20" xfId="2" applyNumberFormat="1" applyFill="1" applyBorder="1" applyAlignment="1">
      <alignment vertical="center"/>
    </xf>
    <xf numFmtId="0" fontId="4" fillId="0" borderId="0" xfId="2" applyAlignment="1">
      <alignment vertical="center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53" fillId="0" borderId="0" xfId="4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4" fillId="3" borderId="0" xfId="2" applyFill="1" applyAlignment="1">
      <alignment vertical="center"/>
    </xf>
    <xf numFmtId="177" fontId="4" fillId="3" borderId="20" xfId="2" applyNumberFormat="1" applyFill="1" applyBorder="1" applyAlignment="1">
      <alignment vertical="center"/>
    </xf>
    <xf numFmtId="164" fontId="0" fillId="3" borderId="0" xfId="11" applyFont="1" applyFill="1" applyAlignment="1">
      <alignment vertical="center"/>
    </xf>
    <xf numFmtId="178" fontId="4" fillId="3" borderId="20" xfId="2" applyNumberFormat="1" applyFill="1" applyBorder="1" applyAlignment="1">
      <alignment horizontal="center" vertical="center"/>
    </xf>
    <xf numFmtId="177" fontId="55" fillId="3" borderId="20" xfId="2" applyNumberFormat="1" applyFont="1" applyFill="1" applyBorder="1" applyAlignment="1">
      <alignment horizontal="center" vertical="center"/>
    </xf>
    <xf numFmtId="180" fontId="18" fillId="3" borderId="12" xfId="2" applyNumberFormat="1" applyFont="1" applyFill="1" applyBorder="1" applyAlignment="1">
      <alignment vertical="center"/>
    </xf>
    <xf numFmtId="180" fontId="18" fillId="3" borderId="11" xfId="2" applyNumberFormat="1" applyFont="1" applyFill="1" applyBorder="1" applyAlignment="1">
      <alignment vertical="center"/>
    </xf>
    <xf numFmtId="180" fontId="18" fillId="3" borderId="1" xfId="2" applyNumberFormat="1" applyFont="1" applyFill="1" applyBorder="1" applyAlignment="1">
      <alignment vertical="center"/>
    </xf>
    <xf numFmtId="180" fontId="18" fillId="3" borderId="0" xfId="2" applyNumberFormat="1" applyFont="1" applyFill="1" applyBorder="1" applyAlignment="1">
      <alignment vertical="center"/>
    </xf>
    <xf numFmtId="177" fontId="4" fillId="3" borderId="0" xfId="2" applyNumberFormat="1" applyFill="1" applyBorder="1" applyAlignment="1">
      <alignment horizontal="right" vertical="center"/>
    </xf>
    <xf numFmtId="0" fontId="4" fillId="3" borderId="1" xfId="2" applyFill="1" applyBorder="1" applyAlignment="1">
      <alignment vertical="center"/>
    </xf>
    <xf numFmtId="0" fontId="4" fillId="3" borderId="0" xfId="2" applyFill="1" applyBorder="1" applyAlignment="1">
      <alignment vertical="center"/>
    </xf>
    <xf numFmtId="180" fontId="4" fillId="3" borderId="0" xfId="2" applyNumberFormat="1" applyFont="1" applyFill="1" applyBorder="1" applyAlignment="1">
      <alignment vertical="center"/>
    </xf>
    <xf numFmtId="0" fontId="4" fillId="3" borderId="0" xfId="2" applyFont="1" applyFill="1" applyBorder="1" applyAlignment="1">
      <alignment horizontal="right" vertical="center"/>
    </xf>
    <xf numFmtId="0" fontId="4" fillId="3" borderId="0" xfId="2" applyFill="1" applyBorder="1" applyAlignment="1">
      <alignment horizontal="right" vertical="center"/>
    </xf>
    <xf numFmtId="177" fontId="4" fillId="3" borderId="0" xfId="2" applyNumberFormat="1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53" fillId="0" borderId="0" xfId="12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2" applyNumberFormat="1" applyAlignment="1">
      <alignment vertical="center"/>
    </xf>
    <xf numFmtId="0" fontId="24" fillId="0" borderId="0" xfId="4" applyFont="1" applyAlignment="1">
      <alignment vertical="center"/>
    </xf>
    <xf numFmtId="0" fontId="4" fillId="0" borderId="0" xfId="2" applyAlignment="1">
      <alignment horizontal="center" vertical="center"/>
    </xf>
    <xf numFmtId="0" fontId="15" fillId="0" borderId="0" xfId="4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3" borderId="0" xfId="2" applyFont="1" applyFill="1" applyBorder="1" applyAlignment="1">
      <alignment horizontal="center" vertical="center"/>
    </xf>
    <xf numFmtId="0" fontId="42" fillId="3" borderId="13" xfId="1" applyFont="1" applyFill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34" fillId="0" borderId="57" xfId="0" applyFont="1" applyFill="1" applyBorder="1" applyAlignment="1">
      <alignment horizontal="center"/>
    </xf>
    <xf numFmtId="4" fontId="33" fillId="0" borderId="51" xfId="0" applyNumberFormat="1" applyFont="1" applyFill="1" applyBorder="1" applyAlignment="1">
      <alignment horizontal="center" vertical="center"/>
    </xf>
    <xf numFmtId="10" fontId="26" fillId="0" borderId="54" xfId="6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vertical="center"/>
    </xf>
    <xf numFmtId="10" fontId="5" fillId="0" borderId="10" xfId="6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10" fontId="4" fillId="0" borderId="10" xfId="6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vertical="center" wrapText="1"/>
    </xf>
    <xf numFmtId="10" fontId="4" fillId="0" borderId="10" xfId="6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/>
    </xf>
    <xf numFmtId="10" fontId="5" fillId="0" borderId="8" xfId="6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vertical="center"/>
    </xf>
    <xf numFmtId="168" fontId="5" fillId="0" borderId="11" xfId="6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vertical="center"/>
    </xf>
    <xf numFmtId="9" fontId="5" fillId="0" borderId="5" xfId="6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168" fontId="5" fillId="0" borderId="5" xfId="6" applyNumberFormat="1" applyFont="1" applyBorder="1" applyAlignment="1">
      <alignment horizontal="center" vertical="center"/>
    </xf>
    <xf numFmtId="164" fontId="4" fillId="0" borderId="8" xfId="0" applyNumberFormat="1" applyFont="1" applyFill="1" applyBorder="1" applyAlignment="1">
      <alignment vertical="center"/>
    </xf>
    <xf numFmtId="168" fontId="5" fillId="0" borderId="0" xfId="6" applyNumberFormat="1" applyFont="1" applyBorder="1" applyAlignment="1">
      <alignment horizontal="center" vertical="center"/>
    </xf>
    <xf numFmtId="9" fontId="5" fillId="0" borderId="8" xfId="6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168" fontId="5" fillId="0" borderId="8" xfId="6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4" fontId="0" fillId="0" borderId="0" xfId="7" applyFont="1" applyAlignment="1">
      <alignment vertical="center"/>
    </xf>
    <xf numFmtId="164" fontId="10" fillId="0" borderId="31" xfId="8" applyFont="1" applyFill="1" applyBorder="1" applyAlignment="1">
      <alignment horizontal="center" vertical="center"/>
    </xf>
    <xf numFmtId="164" fontId="13" fillId="0" borderId="0" xfId="7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7" fillId="0" borderId="19" xfId="2" applyNumberFormat="1" applyFont="1" applyFill="1" applyBorder="1" applyAlignment="1">
      <alignment horizontal="center" vertical="center"/>
    </xf>
    <xf numFmtId="0" fontId="37" fillId="0" borderId="19" xfId="2" applyFont="1" applyFill="1" applyBorder="1" applyAlignment="1">
      <alignment horizontal="center" vertical="center"/>
    </xf>
    <xf numFmtId="0" fontId="42" fillId="3" borderId="38" xfId="1" applyFont="1" applyFill="1" applyBorder="1" applyAlignment="1">
      <alignment horizontal="left" vertical="center" wrapText="1" shrinkToFit="1"/>
    </xf>
    <xf numFmtId="173" fontId="42" fillId="3" borderId="0" xfId="1" applyNumberFormat="1" applyFont="1" applyFill="1" applyBorder="1" applyAlignment="1">
      <alignment horizontal="right" vertical="center"/>
    </xf>
    <xf numFmtId="174" fontId="42" fillId="3" borderId="0" xfId="1" applyNumberFormat="1" applyFont="1" applyFill="1" applyBorder="1" applyAlignment="1">
      <alignment vertical="center"/>
    </xf>
    <xf numFmtId="174" fontId="42" fillId="3" borderId="0" xfId="1" applyNumberFormat="1" applyFont="1" applyFill="1" applyBorder="1" applyAlignment="1">
      <alignment horizontal="right" vertical="center"/>
    </xf>
    <xf numFmtId="0" fontId="33" fillId="3" borderId="20" xfId="1" applyFont="1" applyFill="1" applyBorder="1" applyAlignment="1">
      <alignment horizontal="left" vertical="center" wrapText="1" shrinkToFit="1"/>
    </xf>
    <xf numFmtId="0" fontId="33" fillId="3" borderId="20" xfId="1" applyFont="1" applyFill="1" applyBorder="1" applyAlignment="1">
      <alignment horizontal="center" vertical="center"/>
    </xf>
    <xf numFmtId="173" fontId="33" fillId="3" borderId="20" xfId="1" applyNumberFormat="1" applyFont="1" applyFill="1" applyBorder="1" applyAlignment="1">
      <alignment horizontal="right" vertical="center"/>
    </xf>
    <xf numFmtId="174" fontId="33" fillId="3" borderId="20" xfId="1" applyNumberFormat="1" applyFont="1" applyFill="1" applyBorder="1" applyAlignment="1">
      <alignment vertical="center"/>
    </xf>
    <xf numFmtId="164" fontId="7" fillId="0" borderId="0" xfId="7" applyFont="1" applyAlignment="1">
      <alignment vertical="center"/>
    </xf>
    <xf numFmtId="2" fontId="13" fillId="0" borderId="20" xfId="2" applyNumberFormat="1" applyFont="1" applyFill="1" applyBorder="1" applyAlignment="1">
      <alignment horizontal="center" vertical="center"/>
    </xf>
    <xf numFmtId="169" fontId="13" fillId="0" borderId="20" xfId="2" applyNumberFormat="1" applyFont="1" applyFill="1" applyBorder="1" applyAlignment="1">
      <alignment horizontal="center" vertical="center"/>
    </xf>
    <xf numFmtId="2" fontId="33" fillId="0" borderId="20" xfId="2" applyNumberFormat="1" applyFont="1" applyFill="1" applyBorder="1" applyAlignment="1">
      <alignment horizontal="center" vertical="center"/>
    </xf>
    <xf numFmtId="4" fontId="14" fillId="0" borderId="20" xfId="2" applyNumberFormat="1" applyFont="1" applyFill="1" applyBorder="1" applyAlignment="1">
      <alignment horizontal="center" vertical="center"/>
    </xf>
    <xf numFmtId="4" fontId="13" fillId="0" borderId="20" xfId="2" applyNumberFormat="1" applyFont="1" applyFill="1" applyBorder="1" applyAlignment="1">
      <alignment horizontal="center" vertical="center"/>
    </xf>
    <xf numFmtId="2" fontId="34" fillId="0" borderId="20" xfId="2" applyNumberFormat="1" applyFont="1" applyFill="1" applyBorder="1" applyAlignment="1">
      <alignment horizontal="center" vertical="center"/>
    </xf>
    <xf numFmtId="0" fontId="13" fillId="0" borderId="50" xfId="2" quotePrefix="1" applyFont="1" applyFill="1" applyBorder="1" applyAlignment="1">
      <alignment horizontal="center" vertical="center"/>
    </xf>
    <xf numFmtId="2" fontId="33" fillId="0" borderId="51" xfId="2" applyNumberFormat="1" applyFont="1" applyFill="1" applyBorder="1" applyAlignment="1">
      <alignment horizontal="center" vertical="center"/>
    </xf>
    <xf numFmtId="4" fontId="14" fillId="0" borderId="51" xfId="2" applyNumberFormat="1" applyFont="1" applyFill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42" fillId="3" borderId="0" xfId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0" xfId="2" applyFont="1" applyBorder="1" applyAlignment="1">
      <alignment vertical="center"/>
    </xf>
    <xf numFmtId="0" fontId="13" fillId="0" borderId="52" xfId="0" applyFont="1" applyFill="1" applyBorder="1" applyAlignment="1">
      <alignment horizontal="center" vertical="center"/>
    </xf>
    <xf numFmtId="4" fontId="37" fillId="0" borderId="13" xfId="2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50" xfId="2" applyFont="1" applyFill="1" applyBorder="1" applyAlignment="1">
      <alignment vertical="center"/>
    </xf>
    <xf numFmtId="0" fontId="52" fillId="0" borderId="0" xfId="0" applyFont="1" applyAlignment="1">
      <alignment vertical="center"/>
    </xf>
    <xf numFmtId="0" fontId="13" fillId="0" borderId="20" xfId="2" applyFont="1" applyFill="1" applyBorder="1" applyAlignment="1">
      <alignment horizontal="right" vertical="center"/>
    </xf>
    <xf numFmtId="0" fontId="13" fillId="0" borderId="52" xfId="2" applyFont="1" applyFill="1" applyBorder="1" applyAlignment="1">
      <alignment vertical="center"/>
    </xf>
    <xf numFmtId="0" fontId="13" fillId="0" borderId="53" xfId="2" applyFont="1" applyFill="1" applyBorder="1" applyAlignment="1">
      <alignment horizontal="right" vertical="center"/>
    </xf>
    <xf numFmtId="10" fontId="33" fillId="0" borderId="53" xfId="2" applyNumberFormat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13" fillId="0" borderId="20" xfId="2" applyFont="1" applyBorder="1" applyAlignment="1">
      <alignment horizontal="right" vertical="center"/>
    </xf>
    <xf numFmtId="0" fontId="13" fillId="0" borderId="52" xfId="2" applyFont="1" applyBorder="1" applyAlignment="1">
      <alignment vertical="center"/>
    </xf>
    <xf numFmtId="0" fontId="13" fillId="0" borderId="53" xfId="2" applyFont="1" applyBorder="1" applyAlignment="1">
      <alignment horizontal="right" vertical="center"/>
    </xf>
    <xf numFmtId="0" fontId="13" fillId="0" borderId="20" xfId="2" applyFont="1" applyFill="1" applyBorder="1" applyAlignment="1">
      <alignment vertical="center"/>
    </xf>
    <xf numFmtId="10" fontId="33" fillId="0" borderId="51" xfId="2" applyNumberFormat="1" applyFont="1" applyFill="1" applyBorder="1" applyAlignment="1">
      <alignment vertical="center"/>
    </xf>
    <xf numFmtId="49" fontId="13" fillId="0" borderId="20" xfId="2" applyNumberFormat="1" applyFont="1" applyFill="1" applyBorder="1" applyAlignment="1">
      <alignment horizontal="right" vertical="center"/>
    </xf>
    <xf numFmtId="0" fontId="4" fillId="0" borderId="0" xfId="2" applyBorder="1" applyAlignment="1">
      <alignment vertical="center"/>
    </xf>
    <xf numFmtId="0" fontId="4" fillId="0" borderId="0" xfId="2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" fontId="4" fillId="0" borderId="0" xfId="2" applyNumberFormat="1" applyBorder="1" applyAlignment="1">
      <alignment vertical="center"/>
    </xf>
    <xf numFmtId="0" fontId="53" fillId="0" borderId="0" xfId="2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15" fillId="0" borderId="50" xfId="2" applyFont="1" applyFill="1" applyBorder="1" applyAlignment="1">
      <alignment vertical="center"/>
    </xf>
    <xf numFmtId="0" fontId="15" fillId="0" borderId="20" xfId="2" applyFont="1" applyFill="1" applyBorder="1" applyAlignment="1">
      <alignment horizontal="right" vertical="center"/>
    </xf>
    <xf numFmtId="0" fontId="15" fillId="0" borderId="52" xfId="2" applyFont="1" applyFill="1" applyBorder="1" applyAlignment="1">
      <alignment vertical="center"/>
    </xf>
    <xf numFmtId="0" fontId="15" fillId="0" borderId="53" xfId="2" applyFont="1" applyFill="1" applyBorder="1" applyAlignment="1">
      <alignment horizontal="right" vertical="center"/>
    </xf>
    <xf numFmtId="49" fontId="13" fillId="0" borderId="20" xfId="2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4" fontId="13" fillId="0" borderId="53" xfId="0" applyNumberFormat="1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50" xfId="2" applyFont="1" applyFill="1" applyBorder="1" applyAlignment="1">
      <alignment horizontal="left" vertical="center"/>
    </xf>
    <xf numFmtId="0" fontId="13" fillId="0" borderId="52" xfId="0" applyFont="1" applyFill="1" applyBorder="1" applyAlignment="1">
      <alignment horizontal="left" vertical="center"/>
    </xf>
    <xf numFmtId="0" fontId="13" fillId="0" borderId="53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45" fillId="0" borderId="0" xfId="0" applyFont="1"/>
    <xf numFmtId="0" fontId="15" fillId="0" borderId="0" xfId="0" applyFont="1" applyAlignment="1">
      <alignment vertical="center"/>
    </xf>
    <xf numFmtId="4" fontId="13" fillId="0" borderId="20" xfId="0" applyNumberFormat="1" applyFont="1" applyFill="1" applyBorder="1" applyAlignment="1">
      <alignment vertical="center"/>
    </xf>
    <xf numFmtId="4" fontId="13" fillId="0" borderId="53" xfId="0" applyNumberFormat="1" applyFont="1" applyFill="1" applyBorder="1" applyAlignment="1">
      <alignment vertical="center"/>
    </xf>
    <xf numFmtId="0" fontId="56" fillId="0" borderId="20" xfId="1" applyFont="1" applyBorder="1" applyAlignment="1">
      <alignment vertical="center"/>
    </xf>
    <xf numFmtId="0" fontId="16" fillId="0" borderId="20" xfId="1" applyFont="1" applyBorder="1" applyAlignment="1">
      <alignment vertical="center"/>
    </xf>
    <xf numFmtId="0" fontId="16" fillId="0" borderId="20" xfId="1" applyFont="1" applyBorder="1" applyAlignment="1">
      <alignment horizontal="center" vertical="center"/>
    </xf>
    <xf numFmtId="0" fontId="33" fillId="3" borderId="20" xfId="1" applyFont="1" applyFill="1" applyBorder="1" applyAlignment="1">
      <alignment vertical="center"/>
    </xf>
    <xf numFmtId="4" fontId="33" fillId="3" borderId="20" xfId="1" applyNumberFormat="1" applyFont="1" applyFill="1" applyBorder="1" applyAlignment="1">
      <alignment vertical="center"/>
    </xf>
    <xf numFmtId="0" fontId="34" fillId="3" borderId="20" xfId="1" applyFont="1" applyFill="1" applyBorder="1" applyAlignment="1">
      <alignment vertical="center"/>
    </xf>
    <xf numFmtId="0" fontId="34" fillId="3" borderId="20" xfId="1" applyFont="1" applyFill="1" applyBorder="1" applyAlignment="1">
      <alignment horizontal="center" vertical="center"/>
    </xf>
    <xf numFmtId="4" fontId="34" fillId="3" borderId="20" xfId="1" applyNumberFormat="1" applyFont="1" applyFill="1" applyBorder="1" applyAlignment="1">
      <alignment horizontal="center" vertical="center"/>
    </xf>
    <xf numFmtId="170" fontId="33" fillId="3" borderId="20" xfId="1" applyNumberFormat="1" applyFont="1" applyFill="1" applyBorder="1" applyAlignment="1">
      <alignment vertical="center"/>
    </xf>
    <xf numFmtId="4" fontId="34" fillId="3" borderId="20" xfId="1" applyNumberFormat="1" applyFont="1" applyFill="1" applyBorder="1" applyAlignment="1">
      <alignment vertical="center"/>
    </xf>
    <xf numFmtId="0" fontId="33" fillId="3" borderId="20" xfId="1" applyFont="1" applyFill="1" applyBorder="1" applyAlignment="1">
      <alignment vertical="center" wrapText="1" shrinkToFit="1"/>
    </xf>
    <xf numFmtId="182" fontId="33" fillId="3" borderId="20" xfId="1" applyNumberFormat="1" applyFont="1" applyFill="1" applyBorder="1" applyAlignment="1">
      <alignment vertical="center"/>
    </xf>
    <xf numFmtId="0" fontId="33" fillId="3" borderId="50" xfId="1" applyFont="1" applyFill="1" applyBorder="1" applyAlignment="1">
      <alignment horizontal="center" vertical="center"/>
    </xf>
    <xf numFmtId="0" fontId="33" fillId="3" borderId="50" xfId="1" applyFont="1" applyFill="1" applyBorder="1" applyAlignment="1">
      <alignment horizontal="center" vertical="center" wrapText="1"/>
    </xf>
    <xf numFmtId="10" fontId="16" fillId="0" borderId="20" xfId="1" applyNumberFormat="1" applyFont="1" applyBorder="1" applyAlignment="1">
      <alignment horizontal="center" vertical="center"/>
    </xf>
    <xf numFmtId="174" fontId="34" fillId="3" borderId="20" xfId="1" applyNumberFormat="1" applyFont="1" applyFill="1" applyBorder="1" applyAlignment="1">
      <alignment vertical="center"/>
    </xf>
    <xf numFmtId="174" fontId="33" fillId="3" borderId="20" xfId="1" applyNumberFormat="1" applyFont="1" applyFill="1" applyBorder="1" applyAlignment="1">
      <alignment horizontal="right" vertical="center"/>
    </xf>
    <xf numFmtId="0" fontId="34" fillId="3" borderId="53" xfId="1" applyFont="1" applyFill="1" applyBorder="1" applyAlignment="1">
      <alignment vertical="center"/>
    </xf>
    <xf numFmtId="174" fontId="34" fillId="3" borderId="53" xfId="1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3" fillId="0" borderId="20" xfId="0" quotePrefix="1" applyFont="1" applyFill="1" applyBorder="1" applyAlignment="1">
      <alignment vertical="center" wrapText="1"/>
    </xf>
    <xf numFmtId="4" fontId="13" fillId="0" borderId="20" xfId="8" applyNumberFormat="1" applyFont="1" applyFill="1" applyBorder="1" applyAlignment="1">
      <alignment horizontal="right" vertical="center"/>
    </xf>
    <xf numFmtId="0" fontId="33" fillId="0" borderId="50" xfId="0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56" fillId="0" borderId="55" xfId="1" applyFont="1" applyBorder="1" applyAlignment="1">
      <alignment horizontal="center" vertical="center"/>
    </xf>
    <xf numFmtId="0" fontId="34" fillId="3" borderId="50" xfId="1" applyFont="1" applyFill="1" applyBorder="1" applyAlignment="1">
      <alignment horizontal="center" vertical="center"/>
    </xf>
    <xf numFmtId="0" fontId="34" fillId="3" borderId="52" xfId="1" applyFont="1" applyFill="1" applyBorder="1" applyAlignment="1">
      <alignment horizontal="center" vertical="center"/>
    </xf>
    <xf numFmtId="0" fontId="42" fillId="3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52" xfId="2" applyFont="1" applyFill="1" applyBorder="1" applyAlignment="1">
      <alignment horizontal="left" vertical="center"/>
    </xf>
    <xf numFmtId="0" fontId="56" fillId="0" borderId="57" xfId="1" applyFont="1" applyBorder="1" applyAlignment="1">
      <alignment horizontal="center" vertical="center"/>
    </xf>
    <xf numFmtId="0" fontId="56" fillId="0" borderId="50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0" fontId="13" fillId="0" borderId="0" xfId="0" applyNumberFormat="1" applyFont="1" applyFill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179" fontId="13" fillId="0" borderId="20" xfId="7" applyNumberFormat="1" applyFont="1" applyFill="1" applyBorder="1" applyAlignment="1">
      <alignment horizontal="right" vertical="center"/>
    </xf>
    <xf numFmtId="179" fontId="4" fillId="3" borderId="20" xfId="7" applyNumberFormat="1" applyFont="1" applyFill="1" applyBorder="1" applyAlignment="1">
      <alignment vertical="center"/>
    </xf>
    <xf numFmtId="179" fontId="4" fillId="3" borderId="20" xfId="7" applyNumberFormat="1" applyFont="1" applyFill="1" applyBorder="1" applyAlignment="1">
      <alignment horizontal="center" vertical="center"/>
    </xf>
    <xf numFmtId="179" fontId="55" fillId="3" borderId="20" xfId="7" applyNumberFormat="1" applyFont="1" applyFill="1" applyBorder="1" applyAlignment="1">
      <alignment horizontal="center" vertical="center"/>
    </xf>
    <xf numFmtId="179" fontId="4" fillId="3" borderId="0" xfId="7" applyNumberFormat="1" applyFont="1" applyFill="1" applyAlignment="1">
      <alignment vertical="center"/>
    </xf>
    <xf numFmtId="179" fontId="18" fillId="3" borderId="11" xfId="7" applyNumberFormat="1" applyFont="1" applyFill="1" applyBorder="1" applyAlignment="1">
      <alignment vertical="center"/>
    </xf>
    <xf numFmtId="179" fontId="18" fillId="3" borderId="0" xfId="7" applyNumberFormat="1" applyFont="1" applyFill="1" applyBorder="1" applyAlignment="1">
      <alignment vertical="center"/>
    </xf>
    <xf numFmtId="179" fontId="4" fillId="3" borderId="0" xfId="7" applyNumberFormat="1" applyFont="1" applyFill="1" applyBorder="1" applyAlignment="1">
      <alignment vertical="center"/>
    </xf>
    <xf numFmtId="179" fontId="4" fillId="3" borderId="0" xfId="7" applyNumberFormat="1" applyFont="1" applyFill="1" applyAlignment="1">
      <alignment horizontal="center" vertical="center"/>
    </xf>
    <xf numFmtId="179" fontId="5" fillId="3" borderId="0" xfId="7" applyNumberFormat="1" applyFont="1" applyFill="1" applyAlignment="1">
      <alignment horizontal="center" vertical="center"/>
    </xf>
    <xf numFmtId="2" fontId="34" fillId="0" borderId="53" xfId="2" applyNumberFormat="1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 wrapText="1"/>
    </xf>
    <xf numFmtId="0" fontId="34" fillId="4" borderId="56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165" fontId="14" fillId="4" borderId="56" xfId="0" applyNumberFormat="1" applyFont="1" applyFill="1" applyBorder="1" applyAlignment="1">
      <alignment horizontal="center" vertical="center" wrapText="1"/>
    </xf>
    <xf numFmtId="166" fontId="14" fillId="4" borderId="56" xfId="0" applyNumberFormat="1" applyFont="1" applyFill="1" applyBorder="1" applyAlignment="1">
      <alignment horizontal="center" vertical="center" wrapText="1"/>
    </xf>
    <xf numFmtId="10" fontId="14" fillId="4" borderId="57" xfId="0" applyNumberFormat="1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horizontal="right" vertical="center" wrapText="1"/>
    </xf>
    <xf numFmtId="164" fontId="14" fillId="5" borderId="20" xfId="7" applyFont="1" applyFill="1" applyBorder="1" applyAlignment="1">
      <alignment horizontal="right" vertical="center" wrapText="1"/>
    </xf>
    <xf numFmtId="10" fontId="14" fillId="5" borderId="51" xfId="5" applyNumberFormat="1" applyFont="1" applyFill="1" applyBorder="1" applyAlignment="1">
      <alignment horizontal="right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 wrapText="1"/>
    </xf>
    <xf numFmtId="164" fontId="13" fillId="0" borderId="20" xfId="7" applyNumberFormat="1" applyFont="1" applyFill="1" applyBorder="1" applyAlignment="1">
      <alignment horizontal="right" vertical="center" wrapText="1"/>
    </xf>
    <xf numFmtId="164" fontId="13" fillId="0" borderId="20" xfId="7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justify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right" vertical="center" wrapText="1"/>
    </xf>
    <xf numFmtId="0" fontId="14" fillId="0" borderId="20" xfId="7" applyNumberFormat="1" applyFont="1" applyFill="1" applyBorder="1" applyAlignment="1">
      <alignment horizontal="right" vertical="center" wrapText="1"/>
    </xf>
    <xf numFmtId="164" fontId="14" fillId="0" borderId="20" xfId="7" applyFont="1" applyFill="1" applyBorder="1" applyAlignment="1">
      <alignment horizontal="right" vertical="center" wrapText="1"/>
    </xf>
    <xf numFmtId="166" fontId="34" fillId="5" borderId="20" xfId="0" applyNumberFormat="1" applyFont="1" applyFill="1" applyBorder="1" applyAlignment="1">
      <alignment horizontal="left" vertical="center" wrapText="1"/>
    </xf>
    <xf numFmtId="0" fontId="14" fillId="5" borderId="20" xfId="7" applyNumberFormat="1" applyFont="1" applyFill="1" applyBorder="1" applyAlignment="1">
      <alignment horizontal="right" vertical="center" wrapText="1"/>
    </xf>
    <xf numFmtId="4" fontId="13" fillId="3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right" vertical="center" wrapText="1"/>
    </xf>
    <xf numFmtId="4" fontId="34" fillId="0" borderId="20" xfId="0" applyNumberFormat="1" applyFont="1" applyFill="1" applyBorder="1" applyAlignment="1">
      <alignment horizontal="right" vertical="center" wrapText="1"/>
    </xf>
    <xf numFmtId="4" fontId="33" fillId="0" borderId="20" xfId="0" applyNumberFormat="1" applyFont="1" applyFill="1" applyBorder="1" applyAlignment="1">
      <alignment horizontal="right" vertical="center" wrapText="1"/>
    </xf>
    <xf numFmtId="0" fontId="14" fillId="0" borderId="20" xfId="2" applyFont="1" applyFill="1" applyBorder="1" applyAlignment="1">
      <alignment horizontal="left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justify" vertical="center" wrapText="1"/>
    </xf>
    <xf numFmtId="4" fontId="33" fillId="3" borderId="20" xfId="0" applyNumberFormat="1" applyFont="1" applyFill="1" applyBorder="1" applyAlignment="1">
      <alignment horizontal="right" vertical="center" wrapText="1"/>
    </xf>
    <xf numFmtId="0" fontId="33" fillId="0" borderId="20" xfId="0" applyFont="1" applyFill="1" applyBorder="1" applyAlignment="1">
      <alignment horizontal="justify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34" fillId="5" borderId="20" xfId="0" applyFont="1" applyFill="1" applyBorder="1" applyAlignment="1">
      <alignment horizontal="center" vertical="center" wrapText="1"/>
    </xf>
    <xf numFmtId="0" fontId="34" fillId="5" borderId="20" xfId="0" applyFont="1" applyFill="1" applyBorder="1" applyAlignment="1">
      <alignment horizontal="right" vertical="center" wrapText="1"/>
    </xf>
    <xf numFmtId="4" fontId="14" fillId="5" borderId="20" xfId="0" applyNumberFormat="1" applyFont="1" applyFill="1" applyBorder="1" applyAlignment="1">
      <alignment horizontal="right" vertical="center" wrapText="1"/>
    </xf>
    <xf numFmtId="10" fontId="13" fillId="5" borderId="51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vertical="center" wrapText="1"/>
    </xf>
    <xf numFmtId="4" fontId="14" fillId="0" borderId="20" xfId="0" applyNumberFormat="1" applyFont="1" applyFill="1" applyBorder="1" applyAlignment="1">
      <alignment horizontal="right" vertical="center" wrapText="1"/>
    </xf>
    <xf numFmtId="4" fontId="13" fillId="0" borderId="20" xfId="0" applyNumberFormat="1" applyFont="1" applyFill="1" applyBorder="1" applyAlignment="1">
      <alignment horizontal="righ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justify" vertical="center" wrapText="1"/>
    </xf>
    <xf numFmtId="2" fontId="13" fillId="3" borderId="20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right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right" vertical="center" wrapText="1"/>
    </xf>
    <xf numFmtId="2" fontId="14" fillId="3" borderId="20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64" fontId="14" fillId="3" borderId="20" xfId="7" applyFont="1" applyFill="1" applyBorder="1" applyAlignment="1">
      <alignment horizontal="right" vertical="center" wrapText="1"/>
    </xf>
    <xf numFmtId="4" fontId="13" fillId="0" borderId="20" xfId="0" applyNumberFormat="1" applyFont="1" applyFill="1" applyBorder="1" applyAlignment="1">
      <alignment vertical="center" wrapText="1"/>
    </xf>
    <xf numFmtId="43" fontId="11" fillId="0" borderId="53" xfId="0" applyNumberFormat="1" applyFont="1" applyFill="1" applyBorder="1" applyAlignment="1">
      <alignment vertical="center"/>
    </xf>
    <xf numFmtId="168" fontId="11" fillId="0" borderId="54" xfId="0" applyNumberFormat="1" applyFont="1" applyFill="1" applyBorder="1" applyAlignment="1">
      <alignment horizontal="right" vertical="center"/>
    </xf>
    <xf numFmtId="10" fontId="13" fillId="0" borderId="54" xfId="0" applyNumberFormat="1" applyFont="1" applyFill="1" applyBorder="1" applyAlignment="1">
      <alignment vertical="center"/>
    </xf>
    <xf numFmtId="177" fontId="4" fillId="3" borderId="51" xfId="2" applyNumberFormat="1" applyFill="1" applyBorder="1" applyAlignment="1">
      <alignment vertical="center"/>
    </xf>
    <xf numFmtId="2" fontId="4" fillId="0" borderId="51" xfId="8" applyNumberFormat="1" applyFont="1" applyFill="1" applyBorder="1" applyAlignment="1">
      <alignment vertical="center"/>
    </xf>
    <xf numFmtId="179" fontId="4" fillId="3" borderId="51" xfId="8" applyNumberFormat="1" applyFont="1" applyFill="1" applyBorder="1" applyAlignment="1">
      <alignment vertical="center"/>
    </xf>
    <xf numFmtId="177" fontId="55" fillId="3" borderId="51" xfId="2" applyNumberFormat="1" applyFont="1" applyFill="1" applyBorder="1" applyAlignment="1">
      <alignment horizontal="center" vertical="center"/>
    </xf>
    <xf numFmtId="0" fontId="4" fillId="3" borderId="2" xfId="2" applyFill="1" applyBorder="1" applyAlignment="1">
      <alignment vertical="center"/>
    </xf>
    <xf numFmtId="180" fontId="18" fillId="3" borderId="24" xfId="2" applyNumberFormat="1" applyFont="1" applyFill="1" applyBorder="1" applyAlignment="1">
      <alignment vertical="center"/>
    </xf>
    <xf numFmtId="180" fontId="18" fillId="3" borderId="2" xfId="2" applyNumberFormat="1" applyFont="1" applyFill="1" applyBorder="1" applyAlignment="1">
      <alignment vertical="center"/>
    </xf>
    <xf numFmtId="2" fontId="4" fillId="3" borderId="2" xfId="2" applyNumberFormat="1" applyFill="1" applyBorder="1" applyAlignment="1">
      <alignment vertical="center"/>
    </xf>
    <xf numFmtId="177" fontId="4" fillId="3" borderId="2" xfId="2" applyNumberFormat="1" applyFill="1" applyBorder="1" applyAlignment="1">
      <alignment vertical="center"/>
    </xf>
    <xf numFmtId="0" fontId="24" fillId="0" borderId="20" xfId="2" applyFont="1" applyBorder="1" applyAlignment="1">
      <alignment horizontal="center" vertical="center" wrapText="1"/>
    </xf>
    <xf numFmtId="3" fontId="15" fillId="0" borderId="50" xfId="2" applyNumberFormat="1" applyFont="1" applyFill="1" applyBorder="1" applyAlignment="1">
      <alignment horizontal="center" vertical="center"/>
    </xf>
    <xf numFmtId="4" fontId="15" fillId="0" borderId="20" xfId="2" applyNumberFormat="1" applyFont="1" applyFill="1" applyBorder="1" applyAlignment="1">
      <alignment horizontal="left" vertical="center"/>
    </xf>
    <xf numFmtId="4" fontId="15" fillId="0" borderId="20" xfId="2" applyNumberFormat="1" applyFont="1" applyBorder="1" applyAlignment="1">
      <alignment horizontal="center" vertical="center"/>
    </xf>
    <xf numFmtId="4" fontId="15" fillId="0" borderId="20" xfId="2" applyNumberFormat="1" applyFont="1" applyFill="1" applyBorder="1" applyAlignment="1">
      <alignment horizontal="center" vertical="center"/>
    </xf>
    <xf numFmtId="4" fontId="15" fillId="0" borderId="20" xfId="2" applyNumberFormat="1" applyFont="1" applyFill="1" applyBorder="1" applyAlignment="1">
      <alignment horizontal="right" vertical="center"/>
    </xf>
    <xf numFmtId="4" fontId="15" fillId="0" borderId="51" xfId="2" applyNumberFormat="1" applyFont="1" applyFill="1" applyBorder="1" applyAlignment="1">
      <alignment horizontal="right" vertical="center"/>
    </xf>
    <xf numFmtId="4" fontId="24" fillId="0" borderId="53" xfId="2" applyNumberFormat="1" applyFont="1" applyBorder="1" applyAlignment="1">
      <alignment horizontal="center" vertical="center"/>
    </xf>
    <xf numFmtId="4" fontId="24" fillId="0" borderId="53" xfId="2" applyNumberFormat="1" applyFont="1" applyBorder="1" applyAlignment="1">
      <alignment vertical="center"/>
    </xf>
    <xf numFmtId="0" fontId="4" fillId="0" borderId="53" xfId="2" applyFont="1" applyBorder="1" applyAlignment="1">
      <alignment vertical="center"/>
    </xf>
    <xf numFmtId="4" fontId="24" fillId="0" borderId="54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4" fontId="13" fillId="0" borderId="20" xfId="2" applyNumberFormat="1" applyFont="1" applyBorder="1" applyAlignment="1">
      <alignment horizontal="center" vertical="center"/>
    </xf>
    <xf numFmtId="4" fontId="13" fillId="3" borderId="20" xfId="2" applyNumberFormat="1" applyFont="1" applyFill="1" applyBorder="1" applyAlignment="1">
      <alignment horizontal="center" vertical="center"/>
    </xf>
    <xf numFmtId="4" fontId="14" fillId="0" borderId="20" xfId="2" applyNumberFormat="1" applyFont="1" applyBorder="1" applyAlignment="1">
      <alignment horizontal="center" vertical="center"/>
    </xf>
    <xf numFmtId="169" fontId="13" fillId="0" borderId="20" xfId="2" applyNumberFormat="1" applyFont="1" applyBorder="1" applyAlignment="1">
      <alignment horizontal="center" vertical="center"/>
    </xf>
    <xf numFmtId="4" fontId="14" fillId="0" borderId="51" xfId="2" applyNumberFormat="1" applyFont="1" applyBorder="1" applyAlignment="1">
      <alignment horizontal="center" vertical="center"/>
    </xf>
    <xf numFmtId="0" fontId="13" fillId="0" borderId="50" xfId="2" applyFont="1" applyFill="1" applyBorder="1" applyAlignment="1">
      <alignment horizontal="center" vertical="center"/>
    </xf>
    <xf numFmtId="2" fontId="13" fillId="0" borderId="20" xfId="2" applyNumberFormat="1" applyFont="1" applyFill="1" applyBorder="1" applyAlignment="1">
      <alignment horizontal="right" vertical="center"/>
    </xf>
    <xf numFmtId="164" fontId="13" fillId="0" borderId="20" xfId="8" applyFont="1" applyFill="1" applyBorder="1" applyAlignment="1">
      <alignment horizontal="right" vertical="center" wrapText="1"/>
    </xf>
    <xf numFmtId="0" fontId="15" fillId="0" borderId="20" xfId="2" applyFont="1" applyFill="1" applyBorder="1" applyAlignment="1">
      <alignment horizontal="center" vertical="center"/>
    </xf>
    <xf numFmtId="164" fontId="13" fillId="0" borderId="51" xfId="8" applyFont="1" applyFill="1" applyBorder="1" applyAlignment="1">
      <alignment horizontal="center" vertical="center"/>
    </xf>
    <xf numFmtId="4" fontId="24" fillId="0" borderId="54" xfId="2" applyNumberFormat="1" applyFont="1" applyBorder="1" applyAlignment="1">
      <alignment vertical="center"/>
    </xf>
    <xf numFmtId="0" fontId="4" fillId="0" borderId="0" xfId="2" applyFill="1" applyAlignment="1">
      <alignment vertical="center"/>
    </xf>
    <xf numFmtId="4" fontId="4" fillId="0" borderId="0" xfId="2" applyNumberFormat="1" applyFill="1" applyAlignment="1">
      <alignment vertical="center"/>
    </xf>
    <xf numFmtId="0" fontId="15" fillId="0" borderId="0" xfId="2" applyFont="1" applyAlignment="1">
      <alignment vertical="center"/>
    </xf>
    <xf numFmtId="4" fontId="33" fillId="0" borderId="51" xfId="2" applyNumberFormat="1" applyFont="1" applyFill="1" applyBorder="1" applyAlignment="1">
      <alignment horizontal="right" vertical="center"/>
    </xf>
    <xf numFmtId="0" fontId="14" fillId="7" borderId="55" xfId="0" applyFont="1" applyFill="1" applyBorder="1" applyAlignment="1">
      <alignment horizontal="center" vertical="center" wrapText="1"/>
    </xf>
    <xf numFmtId="166" fontId="34" fillId="7" borderId="56" xfId="0" applyNumberFormat="1" applyFont="1" applyFill="1" applyBorder="1" applyAlignment="1">
      <alignment horizontal="center" vertical="center" wrapText="1"/>
    </xf>
    <xf numFmtId="0" fontId="34" fillId="7" borderId="56" xfId="0" applyFont="1" applyFill="1" applyBorder="1" applyAlignment="1">
      <alignment horizontal="center" vertical="center" wrapText="1"/>
    </xf>
    <xf numFmtId="0" fontId="34" fillId="7" borderId="57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164" fontId="13" fillId="0" borderId="51" xfId="7" quotePrefix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4" fontId="33" fillId="0" borderId="20" xfId="0" applyNumberFormat="1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>
      <alignment horizontal="center" vertical="center" wrapText="1"/>
    </xf>
    <xf numFmtId="2" fontId="33" fillId="3" borderId="20" xfId="2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33" fillId="3" borderId="20" xfId="0" applyNumberFormat="1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justify" vertical="center" wrapText="1"/>
    </xf>
    <xf numFmtId="0" fontId="33" fillId="0" borderId="53" xfId="0" applyFont="1" applyFill="1" applyBorder="1" applyAlignment="1">
      <alignment horizontal="center" vertical="center" wrapText="1"/>
    </xf>
    <xf numFmtId="4" fontId="33" fillId="3" borderId="53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5" fillId="0" borderId="0" xfId="0" applyFont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1" xfId="0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164" fontId="0" fillId="0" borderId="20" xfId="7" applyFont="1" applyBorder="1" applyAlignment="1">
      <alignment vertical="center"/>
    </xf>
    <xf numFmtId="10" fontId="0" fillId="0" borderId="51" xfId="0" applyNumberFormat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52" xfId="0" applyBorder="1" applyAlignment="1">
      <alignment horizontal="center" vertical="center"/>
    </xf>
    <xf numFmtId="164" fontId="6" fillId="0" borderId="53" xfId="7" applyFont="1" applyBorder="1" applyAlignment="1">
      <alignment vertical="center"/>
    </xf>
    <xf numFmtId="168" fontId="6" fillId="0" borderId="54" xfId="0" applyNumberFormat="1" applyFont="1" applyBorder="1" applyAlignment="1">
      <alignment vertical="center"/>
    </xf>
    <xf numFmtId="164" fontId="10" fillId="0" borderId="20" xfId="8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10" fontId="3" fillId="0" borderId="20" xfId="6" applyNumberFormat="1" applyFont="1" applyFill="1" applyBorder="1" applyAlignment="1">
      <alignment horizontal="center" vertical="center"/>
    </xf>
    <xf numFmtId="4" fontId="5" fillId="0" borderId="20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4" fillId="0" borderId="51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4" fontId="4" fillId="0" borderId="20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8" fontId="6" fillId="0" borderId="20" xfId="6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vertical="center"/>
    </xf>
    <xf numFmtId="168" fontId="6" fillId="0" borderId="51" xfId="6" applyNumberFormat="1" applyFont="1" applyBorder="1" applyAlignment="1">
      <alignment horizontal="center" vertical="center"/>
    </xf>
    <xf numFmtId="164" fontId="45" fillId="0" borderId="53" xfId="0" applyNumberFormat="1" applyFont="1" applyFill="1" applyBorder="1" applyAlignment="1">
      <alignment vertical="center"/>
    </xf>
    <xf numFmtId="168" fontId="6" fillId="0" borderId="53" xfId="6" applyNumberFormat="1" applyFont="1" applyBorder="1" applyAlignment="1">
      <alignment horizontal="center" vertical="center"/>
    </xf>
    <xf numFmtId="4" fontId="6" fillId="0" borderId="53" xfId="0" applyNumberFormat="1" applyFont="1" applyBorder="1" applyAlignment="1">
      <alignment vertical="center"/>
    </xf>
    <xf numFmtId="168" fontId="6" fillId="0" borderId="54" xfId="6" applyNumberFormat="1" applyFont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4" fontId="14" fillId="0" borderId="51" xfId="0" applyNumberFormat="1" applyFont="1" applyFill="1" applyBorder="1" applyAlignment="1">
      <alignment horizontal="right" vertical="center"/>
    </xf>
    <xf numFmtId="4" fontId="13" fillId="0" borderId="51" xfId="0" applyNumberFormat="1" applyFont="1" applyFill="1" applyBorder="1" applyAlignment="1">
      <alignment vertical="center"/>
    </xf>
    <xf numFmtId="172" fontId="4" fillId="0" borderId="0" xfId="0" applyNumberFormat="1" applyFont="1" applyAlignment="1">
      <alignment vertical="center"/>
    </xf>
    <xf numFmtId="4" fontId="14" fillId="0" borderId="20" xfId="0" applyNumberFormat="1" applyFont="1" applyFill="1" applyBorder="1" applyAlignment="1">
      <alignment vertical="center"/>
    </xf>
    <xf numFmtId="4" fontId="14" fillId="0" borderId="20" xfId="0" applyNumberFormat="1" applyFont="1" applyFill="1" applyBorder="1" applyAlignment="1">
      <alignment horizontal="right" vertical="center"/>
    </xf>
    <xf numFmtId="4" fontId="14" fillId="0" borderId="51" xfId="0" applyNumberFormat="1" applyFont="1" applyFill="1" applyBorder="1" applyAlignment="1">
      <alignment vertical="center"/>
    </xf>
    <xf numFmtId="4" fontId="13" fillId="0" borderId="54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50" xfId="2" applyFont="1" applyFill="1" applyBorder="1" applyAlignment="1">
      <alignment vertical="center"/>
    </xf>
    <xf numFmtId="0" fontId="7" fillId="0" borderId="52" xfId="2" applyFont="1" applyFill="1" applyBorder="1" applyAlignment="1">
      <alignment vertical="center"/>
    </xf>
    <xf numFmtId="0" fontId="7" fillId="0" borderId="20" xfId="2" applyFont="1" applyFill="1" applyBorder="1" applyAlignment="1">
      <alignment vertical="center"/>
    </xf>
    <xf numFmtId="10" fontId="42" fillId="0" borderId="51" xfId="2" applyNumberFormat="1" applyFont="1" applyFill="1" applyBorder="1" applyAlignment="1">
      <alignment vertical="center"/>
    </xf>
    <xf numFmtId="4" fontId="7" fillId="0" borderId="53" xfId="2" applyNumberFormat="1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4" fillId="0" borderId="20" xfId="2" applyFont="1" applyBorder="1" applyAlignment="1">
      <alignment horizontal="center" vertical="center" wrapText="1"/>
    </xf>
    <xf numFmtId="4" fontId="13" fillId="3" borderId="51" xfId="8" applyNumberFormat="1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4" fontId="13" fillId="0" borderId="20" xfId="2" applyNumberFormat="1" applyFont="1" applyFill="1" applyBorder="1" applyAlignment="1">
      <alignment horizontal="left" vertical="center"/>
    </xf>
    <xf numFmtId="4" fontId="13" fillId="0" borderId="20" xfId="0" applyNumberFormat="1" applyFont="1" applyBorder="1" applyAlignment="1">
      <alignment horizontal="center" vertical="center"/>
    </xf>
    <xf numFmtId="164" fontId="13" fillId="3" borderId="20" xfId="8" applyFont="1" applyFill="1" applyBorder="1" applyAlignment="1">
      <alignment horizontal="center" vertical="center"/>
    </xf>
    <xf numFmtId="164" fontId="13" fillId="0" borderId="51" xfId="8" applyFont="1" applyFill="1" applyBorder="1" applyAlignment="1">
      <alignment horizontal="center" vertical="center"/>
    </xf>
    <xf numFmtId="4" fontId="14" fillId="0" borderId="53" xfId="2" applyNumberFormat="1" applyFont="1" applyFill="1" applyBorder="1" applyAlignment="1">
      <alignment horizontal="center" vertical="center"/>
    </xf>
    <xf numFmtId="0" fontId="13" fillId="0" borderId="50" xfId="2" applyFont="1" applyFill="1" applyBorder="1" applyAlignment="1">
      <alignment horizontal="center" vertical="center"/>
    </xf>
    <xf numFmtId="2" fontId="13" fillId="0" borderId="20" xfId="2" applyNumberFormat="1" applyFont="1" applyFill="1" applyBorder="1" applyAlignment="1">
      <alignment horizontal="right" vertical="center"/>
    </xf>
    <xf numFmtId="2" fontId="13" fillId="0" borderId="20" xfId="2" applyNumberFormat="1" applyFont="1" applyFill="1" applyBorder="1" applyAlignment="1">
      <alignment horizontal="center" vertical="center"/>
    </xf>
    <xf numFmtId="164" fontId="13" fillId="0" borderId="20" xfId="8" applyFont="1" applyFill="1" applyBorder="1" applyAlignment="1">
      <alignment horizontal="center" vertical="center" wrapText="1"/>
    </xf>
    <xf numFmtId="4" fontId="33" fillId="0" borderId="51" xfId="2" applyNumberFormat="1" applyFont="1" applyFill="1" applyBorder="1" applyAlignment="1">
      <alignment horizontal="right" vertical="center"/>
    </xf>
    <xf numFmtId="0" fontId="14" fillId="0" borderId="51" xfId="2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4" fontId="33" fillId="0" borderId="20" xfId="2" applyNumberFormat="1" applyFont="1" applyFill="1" applyBorder="1" applyAlignment="1">
      <alignment horizontal="right" vertical="center"/>
    </xf>
    <xf numFmtId="169" fontId="13" fillId="0" borderId="53" xfId="2" applyNumberFormat="1" applyFont="1" applyFill="1" applyBorder="1" applyAlignment="1">
      <alignment horizontal="center" vertical="center"/>
    </xf>
    <xf numFmtId="0" fontId="14" fillId="0" borderId="50" xfId="2" applyFont="1" applyFill="1" applyBorder="1" applyAlignment="1">
      <alignment horizontal="center" vertical="center" wrapText="1"/>
    </xf>
    <xf numFmtId="0" fontId="13" fillId="0" borderId="52" xfId="2" applyFont="1" applyFill="1" applyBorder="1" applyAlignment="1">
      <alignment horizontal="center" vertical="center"/>
    </xf>
    <xf numFmtId="2" fontId="13" fillId="0" borderId="50" xfId="2" applyNumberFormat="1" applyFont="1" applyFill="1" applyBorder="1" applyAlignment="1">
      <alignment horizontal="center" vertical="center"/>
    </xf>
    <xf numFmtId="169" fontId="13" fillId="0" borderId="51" xfId="2" applyNumberFormat="1" applyFont="1" applyFill="1" applyBorder="1" applyAlignment="1">
      <alignment horizontal="center" vertical="center"/>
    </xf>
    <xf numFmtId="4" fontId="14" fillId="0" borderId="52" xfId="2" applyNumberFormat="1" applyFont="1" applyFill="1" applyBorder="1" applyAlignment="1">
      <alignment horizontal="center" vertical="center"/>
    </xf>
    <xf numFmtId="2" fontId="33" fillId="0" borderId="50" xfId="2" applyNumberFormat="1" applyFont="1" applyFill="1" applyBorder="1" applyAlignment="1">
      <alignment horizontal="center" vertical="center"/>
    </xf>
    <xf numFmtId="4" fontId="13" fillId="0" borderId="51" xfId="2" applyNumberFormat="1" applyFont="1" applyFill="1" applyBorder="1" applyAlignment="1">
      <alignment horizontal="left" vertical="center"/>
    </xf>
    <xf numFmtId="0" fontId="13" fillId="0" borderId="120" xfId="2" quotePrefix="1" applyFont="1" applyFill="1" applyBorder="1" applyAlignment="1">
      <alignment horizontal="center" vertical="center"/>
    </xf>
    <xf numFmtId="4" fontId="13" fillId="0" borderId="64" xfId="2" applyNumberFormat="1" applyFont="1" applyFill="1" applyBorder="1" applyAlignment="1">
      <alignment horizontal="left" vertical="center"/>
    </xf>
    <xf numFmtId="2" fontId="13" fillId="0" borderId="120" xfId="2" applyNumberFormat="1" applyFont="1" applyFill="1" applyBorder="1" applyAlignment="1">
      <alignment horizontal="center" vertical="center"/>
    </xf>
    <xf numFmtId="169" fontId="13" fillId="0" borderId="91" xfId="2" applyNumberFormat="1" applyFont="1" applyFill="1" applyBorder="1" applyAlignment="1">
      <alignment horizontal="center" vertical="center"/>
    </xf>
    <xf numFmtId="169" fontId="13" fillId="0" borderId="64" xfId="2" applyNumberFormat="1" applyFont="1" applyFill="1" applyBorder="1" applyAlignment="1">
      <alignment horizontal="center" vertical="center"/>
    </xf>
    <xf numFmtId="0" fontId="13" fillId="0" borderId="120" xfId="2" applyFont="1" applyFill="1" applyBorder="1" applyAlignment="1">
      <alignment horizontal="center" vertical="center"/>
    </xf>
    <xf numFmtId="2" fontId="33" fillId="0" borderId="64" xfId="2" applyNumberFormat="1" applyFont="1" applyFill="1" applyBorder="1" applyAlignment="1">
      <alignment horizontal="center" vertical="center"/>
    </xf>
    <xf numFmtId="2" fontId="33" fillId="0" borderId="120" xfId="2" applyNumberFormat="1" applyFont="1" applyFill="1" applyBorder="1" applyAlignment="1">
      <alignment horizontal="center" vertical="center"/>
    </xf>
    <xf numFmtId="2" fontId="33" fillId="0" borderId="91" xfId="2" applyNumberFormat="1" applyFont="1" applyFill="1" applyBorder="1" applyAlignment="1">
      <alignment horizontal="center" vertical="center"/>
    </xf>
    <xf numFmtId="183" fontId="42" fillId="3" borderId="69" xfId="1" applyNumberFormat="1" applyFont="1" applyFill="1" applyBorder="1" applyAlignment="1">
      <alignment vertical="center"/>
    </xf>
    <xf numFmtId="4" fontId="13" fillId="0" borderId="53" xfId="2" applyNumberFormat="1" applyFont="1" applyFill="1" applyBorder="1" applyAlignment="1">
      <alignment vertical="center"/>
    </xf>
    <xf numFmtId="0" fontId="13" fillId="0" borderId="53" xfId="2" applyFont="1" applyFill="1" applyBorder="1" applyAlignment="1">
      <alignment vertical="center"/>
    </xf>
    <xf numFmtId="0" fontId="15" fillId="0" borderId="69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3" fillId="0" borderId="20" xfId="0" applyFont="1" applyFill="1" applyBorder="1" applyAlignment="1">
      <alignment horizontal="justify" vertical="center"/>
    </xf>
    <xf numFmtId="0" fontId="33" fillId="0" borderId="20" xfId="0" applyFont="1" applyFill="1" applyBorder="1" applyAlignment="1">
      <alignment horizontal="center" vertical="center"/>
    </xf>
    <xf numFmtId="4" fontId="33" fillId="0" borderId="20" xfId="0" applyNumberFormat="1" applyFont="1" applyFill="1" applyBorder="1" applyAlignment="1">
      <alignment horizontal="center" vertical="center"/>
    </xf>
    <xf numFmtId="4" fontId="33" fillId="3" borderId="20" xfId="0" applyNumberFormat="1" applyFont="1" applyFill="1" applyBorder="1" applyAlignment="1">
      <alignment horizontal="center" vertical="center"/>
    </xf>
    <xf numFmtId="184" fontId="33" fillId="3" borderId="51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justify" vertical="center"/>
    </xf>
    <xf numFmtId="4" fontId="13" fillId="0" borderId="20" xfId="0" applyNumberFormat="1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justify" vertical="center"/>
    </xf>
    <xf numFmtId="0" fontId="33" fillId="3" borderId="20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2" fontId="33" fillId="0" borderId="50" xfId="0" applyNumberFormat="1" applyFont="1" applyFill="1" applyBorder="1" applyAlignment="1">
      <alignment horizontal="center" vertical="center"/>
    </xf>
    <xf numFmtId="4" fontId="14" fillId="3" borderId="20" xfId="0" applyNumberFormat="1" applyFont="1" applyFill="1" applyBorder="1" applyAlignment="1">
      <alignment horizontal="center" vertical="center"/>
    </xf>
    <xf numFmtId="4" fontId="14" fillId="3" borderId="20" xfId="0" applyNumberFormat="1" applyFont="1" applyFill="1" applyBorder="1" applyAlignment="1">
      <alignment horizontal="center" vertical="center" wrapText="1"/>
    </xf>
    <xf numFmtId="4" fontId="14" fillId="3" borderId="51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justify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4" fontId="33" fillId="3" borderId="51" xfId="0" applyNumberFormat="1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4" fontId="13" fillId="3" borderId="51" xfId="0" applyNumberFormat="1" applyFont="1" applyFill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4" fontId="33" fillId="0" borderId="20" xfId="0" applyNumberFormat="1" applyFont="1" applyBorder="1" applyAlignment="1">
      <alignment horizontal="center" vertical="center" wrapText="1"/>
    </xf>
    <xf numFmtId="170" fontId="13" fillId="0" borderId="20" xfId="0" applyNumberFormat="1" applyFont="1" applyBorder="1" applyAlignment="1">
      <alignment horizontal="center" vertical="center"/>
    </xf>
    <xf numFmtId="184" fontId="33" fillId="3" borderId="20" xfId="0" applyNumberFormat="1" applyFont="1" applyFill="1" applyBorder="1" applyAlignment="1">
      <alignment horizontal="center" vertical="center"/>
    </xf>
    <xf numFmtId="4" fontId="33" fillId="0" borderId="20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20" xfId="0" applyFont="1" applyBorder="1" applyAlignment="1">
      <alignment horizontal="justify" vertical="center"/>
    </xf>
    <xf numFmtId="0" fontId="33" fillId="3" borderId="20" xfId="0" applyFont="1" applyFill="1" applyBorder="1" applyAlignment="1">
      <alignment vertical="center"/>
    </xf>
    <xf numFmtId="2" fontId="33" fillId="3" borderId="20" xfId="0" applyNumberFormat="1" applyFont="1" applyFill="1" applyBorder="1" applyAlignment="1">
      <alignment vertical="center"/>
    </xf>
    <xf numFmtId="4" fontId="33" fillId="0" borderId="51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" fontId="33" fillId="0" borderId="20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3" borderId="53" xfId="0" applyFont="1" applyFill="1" applyBorder="1" applyAlignment="1">
      <alignment horizontal="justify" vertical="center"/>
    </xf>
    <xf numFmtId="0" fontId="33" fillId="3" borderId="53" xfId="0" applyFont="1" applyFill="1" applyBorder="1" applyAlignment="1">
      <alignment horizontal="center" vertical="center"/>
    </xf>
    <xf numFmtId="4" fontId="33" fillId="0" borderId="53" xfId="0" applyNumberFormat="1" applyFont="1" applyFill="1" applyBorder="1" applyAlignment="1">
      <alignment horizontal="center" vertical="center"/>
    </xf>
    <xf numFmtId="4" fontId="33" fillId="3" borderId="53" xfId="0" applyNumberFormat="1" applyFont="1" applyFill="1" applyBorder="1" applyAlignment="1">
      <alignment horizontal="center" vertical="center"/>
    </xf>
    <xf numFmtId="4" fontId="33" fillId="3" borderId="54" xfId="0" applyNumberFormat="1" applyFont="1" applyFill="1" applyBorder="1" applyAlignment="1">
      <alignment horizontal="center" vertical="center"/>
    </xf>
    <xf numFmtId="178" fontId="33" fillId="0" borderId="20" xfId="2" applyNumberFormat="1" applyFont="1" applyFill="1" applyBorder="1" applyAlignment="1">
      <alignment horizontal="center" vertical="center"/>
    </xf>
    <xf numFmtId="164" fontId="4" fillId="0" borderId="51" xfId="7" applyFont="1" applyFill="1" applyBorder="1" applyAlignment="1">
      <alignment vertical="center"/>
    </xf>
    <xf numFmtId="0" fontId="4" fillId="0" borderId="51" xfId="2" applyFill="1" applyBorder="1" applyAlignment="1">
      <alignment vertical="center"/>
    </xf>
    <xf numFmtId="0" fontId="4" fillId="0" borderId="0" xfId="2" applyAlignment="1">
      <alignment vertical="center" wrapText="1"/>
    </xf>
    <xf numFmtId="0" fontId="4" fillId="0" borderId="0" xfId="2" applyFill="1" applyAlignment="1">
      <alignment vertical="center" wrapText="1"/>
    </xf>
    <xf numFmtId="10" fontId="24" fillId="0" borderId="0" xfId="0" applyNumberFormat="1" applyFont="1" applyFill="1" applyBorder="1" applyAlignment="1">
      <alignment vertical="center"/>
    </xf>
    <xf numFmtId="177" fontId="5" fillId="3" borderId="60" xfId="2" applyNumberFormat="1" applyFont="1" applyFill="1" applyBorder="1" applyAlignment="1">
      <alignment vertical="center"/>
    </xf>
    <xf numFmtId="177" fontId="5" fillId="3" borderId="57" xfId="2" applyNumberFormat="1" applyFont="1" applyFill="1" applyBorder="1" applyAlignment="1">
      <alignment vertical="center"/>
    </xf>
    <xf numFmtId="177" fontId="5" fillId="3" borderId="51" xfId="2" applyNumberFormat="1" applyFont="1" applyFill="1" applyBorder="1" applyAlignment="1">
      <alignment vertical="center"/>
    </xf>
    <xf numFmtId="177" fontId="5" fillId="3" borderId="54" xfId="2" applyNumberFormat="1" applyFont="1" applyFill="1" applyBorder="1" applyAlignment="1">
      <alignment vertical="center"/>
    </xf>
    <xf numFmtId="4" fontId="4" fillId="3" borderId="0" xfId="2" applyNumberFormat="1" applyFill="1" applyAlignment="1">
      <alignment vertical="center"/>
    </xf>
    <xf numFmtId="43" fontId="4" fillId="0" borderId="0" xfId="2" applyNumberFormat="1" applyAlignment="1">
      <alignment vertical="center"/>
    </xf>
    <xf numFmtId="164" fontId="34" fillId="5" borderId="51" xfId="7" applyFont="1" applyFill="1" applyBorder="1" applyAlignment="1">
      <alignment horizontal="center" vertical="center" wrapText="1"/>
    </xf>
    <xf numFmtId="164" fontId="34" fillId="5" borderId="51" xfId="7" applyFont="1" applyFill="1" applyBorder="1" applyAlignment="1">
      <alignment horizontal="right" vertical="center" wrapText="1"/>
    </xf>
    <xf numFmtId="164" fontId="34" fillId="0" borderId="51" xfId="7" applyFont="1" applyFill="1" applyBorder="1" applyAlignment="1">
      <alignment horizontal="right" vertical="center" wrapText="1"/>
    </xf>
    <xf numFmtId="164" fontId="14" fillId="0" borderId="51" xfId="7" applyFont="1" applyFill="1" applyBorder="1" applyAlignment="1">
      <alignment vertical="center" wrapText="1"/>
    </xf>
    <xf numFmtId="164" fontId="13" fillId="0" borderId="51" xfId="7" applyFont="1" applyFill="1" applyBorder="1" applyAlignment="1">
      <alignment horizontal="right" vertical="center" wrapText="1"/>
    </xf>
    <xf numFmtId="164" fontId="13" fillId="3" borderId="51" xfId="7" applyFont="1" applyFill="1" applyBorder="1" applyAlignment="1">
      <alignment horizontal="right" vertical="center" wrapText="1"/>
    </xf>
    <xf numFmtId="164" fontId="33" fillId="0" borderId="51" xfId="7" applyFont="1" applyFill="1" applyBorder="1" applyAlignment="1">
      <alignment horizontal="right" vertical="center" wrapText="1"/>
    </xf>
    <xf numFmtId="164" fontId="33" fillId="3" borderId="51" xfId="7" applyFont="1" applyFill="1" applyBorder="1" applyAlignment="1">
      <alignment horizontal="right" vertical="center" wrapText="1"/>
    </xf>
    <xf numFmtId="164" fontId="33" fillId="3" borderId="54" xfId="7" applyFont="1" applyFill="1" applyBorder="1" applyAlignment="1">
      <alignment horizontal="right" vertical="center" wrapText="1"/>
    </xf>
    <xf numFmtId="10" fontId="33" fillId="0" borderId="53" xfId="2" applyNumberFormat="1" applyFont="1" applyFill="1" applyBorder="1" applyAlignment="1">
      <alignment horizontal="center" vertical="center"/>
    </xf>
    <xf numFmtId="0" fontId="13" fillId="0" borderId="20" xfId="0" quotePrefix="1" applyFont="1" applyFill="1" applyBorder="1" applyAlignment="1">
      <alignment horizontal="center" vertical="center" wrapText="1"/>
    </xf>
    <xf numFmtId="4" fontId="13" fillId="0" borderId="20" xfId="2" applyNumberFormat="1" applyFont="1" applyFill="1" applyBorder="1" applyAlignment="1">
      <alignment horizontal="center" vertical="center" wrapText="1"/>
    </xf>
    <xf numFmtId="2" fontId="13" fillId="0" borderId="51" xfId="2" applyNumberFormat="1" applyFont="1" applyFill="1" applyBorder="1" applyAlignment="1">
      <alignment horizontal="center" vertical="center" wrapText="1"/>
    </xf>
    <xf numFmtId="0" fontId="13" fillId="0" borderId="53" xfId="2" applyFont="1" applyFill="1" applyBorder="1" applyAlignment="1">
      <alignment horizontal="left" vertical="center"/>
    </xf>
    <xf numFmtId="2" fontId="13" fillId="0" borderId="53" xfId="2" applyNumberFormat="1" applyFont="1" applyFill="1" applyBorder="1" applyAlignment="1">
      <alignment horizontal="right" vertical="center"/>
    </xf>
    <xf numFmtId="2" fontId="13" fillId="0" borderId="53" xfId="2" applyNumberFormat="1" applyFont="1" applyFill="1" applyBorder="1" applyAlignment="1">
      <alignment horizontal="center" vertical="center"/>
    </xf>
    <xf numFmtId="164" fontId="13" fillId="0" borderId="53" xfId="8" applyFont="1" applyFill="1" applyBorder="1" applyAlignment="1">
      <alignment horizontal="right" vertical="center" wrapText="1"/>
    </xf>
    <xf numFmtId="4" fontId="13" fillId="0" borderId="53" xfId="2" applyNumberFormat="1" applyFont="1" applyFill="1" applyBorder="1" applyAlignment="1">
      <alignment horizontal="center" vertical="center"/>
    </xf>
    <xf numFmtId="2" fontId="13" fillId="0" borderId="54" xfId="2" applyNumberFormat="1" applyFont="1" applyFill="1" applyBorder="1" applyAlignment="1">
      <alignment horizontal="right" vertical="center"/>
    </xf>
    <xf numFmtId="0" fontId="4" fillId="3" borderId="20" xfId="2" applyFill="1" applyBorder="1" applyAlignment="1">
      <alignment horizontal="center" vertical="center"/>
    </xf>
    <xf numFmtId="10" fontId="33" fillId="0" borderId="53" xfId="2" applyNumberFormat="1" applyFont="1" applyFill="1" applyBorder="1" applyAlignment="1">
      <alignment horizontal="center" vertical="center"/>
    </xf>
    <xf numFmtId="0" fontId="4" fillId="3" borderId="56" xfId="2" applyFill="1" applyBorder="1" applyAlignment="1">
      <alignment vertical="center"/>
    </xf>
    <xf numFmtId="179" fontId="3" fillId="3" borderId="20" xfId="7" applyNumberFormat="1" applyFont="1" applyFill="1" applyBorder="1" applyAlignment="1">
      <alignment horizontal="center" vertical="center" wrapText="1"/>
    </xf>
    <xf numFmtId="164" fontId="3" fillId="3" borderId="20" xfId="8" applyFont="1" applyFill="1" applyBorder="1" applyAlignment="1">
      <alignment horizontal="center" vertical="center" wrapText="1"/>
    </xf>
    <xf numFmtId="164" fontId="4" fillId="3" borderId="20" xfId="8" applyFont="1" applyFill="1" applyBorder="1" applyAlignment="1">
      <alignment horizontal="center" vertical="center" wrapText="1"/>
    </xf>
    <xf numFmtId="164" fontId="4" fillId="3" borderId="51" xfId="8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vertical="center"/>
    </xf>
    <xf numFmtId="4" fontId="4" fillId="3" borderId="20" xfId="2" applyNumberFormat="1" applyFill="1" applyBorder="1" applyAlignment="1">
      <alignment horizontal="center" vertical="center"/>
    </xf>
    <xf numFmtId="177" fontId="4" fillId="3" borderId="20" xfId="2" applyNumberFormat="1" applyFill="1" applyBorder="1" applyAlignment="1">
      <alignment horizontal="center" vertical="center"/>
    </xf>
    <xf numFmtId="0" fontId="4" fillId="3" borderId="53" xfId="2" applyFill="1" applyBorder="1" applyAlignment="1">
      <alignment vertical="center"/>
    </xf>
    <xf numFmtId="179" fontId="4" fillId="3" borderId="53" xfId="7" applyNumberFormat="1" applyFont="1" applyFill="1" applyBorder="1" applyAlignment="1">
      <alignment vertical="center"/>
    </xf>
    <xf numFmtId="0" fontId="4" fillId="3" borderId="54" xfId="2" applyFill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0" fontId="13" fillId="0" borderId="58" xfId="2" applyFont="1" applyFill="1" applyBorder="1" applyAlignment="1">
      <alignment vertical="center"/>
    </xf>
    <xf numFmtId="0" fontId="13" fillId="0" borderId="22" xfId="2" applyFont="1" applyFill="1" applyBorder="1" applyAlignment="1">
      <alignment vertical="center"/>
    </xf>
    <xf numFmtId="0" fontId="13" fillId="0" borderId="23" xfId="2" applyFont="1" applyFill="1" applyBorder="1" applyAlignment="1">
      <alignment vertical="center"/>
    </xf>
    <xf numFmtId="0" fontId="13" fillId="0" borderId="26" xfId="2" applyFont="1" applyFill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3" fillId="0" borderId="123" xfId="2" applyFont="1" applyFill="1" applyBorder="1" applyAlignment="1">
      <alignment vertical="center"/>
    </xf>
    <xf numFmtId="0" fontId="13" fillId="0" borderId="124" xfId="2" applyFont="1" applyFill="1" applyBorder="1" applyAlignment="1">
      <alignment horizontal="right" vertical="center"/>
    </xf>
    <xf numFmtId="0" fontId="13" fillId="0" borderId="67" xfId="2" applyFont="1" applyFill="1" applyBorder="1" applyAlignment="1">
      <alignment vertical="center"/>
    </xf>
    <xf numFmtId="0" fontId="13" fillId="0" borderId="113" xfId="2" applyFont="1" applyFill="1" applyBorder="1" applyAlignment="1">
      <alignment horizontal="right" vertical="center"/>
    </xf>
    <xf numFmtId="4" fontId="13" fillId="0" borderId="21" xfId="2" applyNumberFormat="1" applyFont="1" applyFill="1" applyBorder="1" applyAlignment="1">
      <alignment vertical="center"/>
    </xf>
    <xf numFmtId="4" fontId="13" fillId="0" borderId="22" xfId="2" applyNumberFormat="1" applyFont="1" applyFill="1" applyBorder="1" applyAlignment="1">
      <alignment vertical="center"/>
    </xf>
    <xf numFmtId="4" fontId="13" fillId="0" borderId="23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3" fillId="0" borderId="20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 wrapText="1"/>
    </xf>
    <xf numFmtId="2" fontId="13" fillId="0" borderId="20" xfId="0" applyNumberFormat="1" applyFont="1" applyFill="1" applyBorder="1" applyAlignment="1">
      <alignment horizontal="center" vertical="center" wrapText="1"/>
    </xf>
    <xf numFmtId="0" fontId="28" fillId="34" borderId="90" xfId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24" fillId="34" borderId="88" xfId="2" applyFont="1" applyFill="1" applyBorder="1" applyAlignment="1">
      <alignment horizontal="center" vertical="center"/>
    </xf>
    <xf numFmtId="0" fontId="15" fillId="34" borderId="0" xfId="2" applyFont="1" applyFill="1" applyAlignment="1">
      <alignment vertical="center"/>
    </xf>
    <xf numFmtId="0" fontId="42" fillId="0" borderId="20" xfId="97" applyFont="1" applyFill="1" applyBorder="1" applyAlignment="1">
      <alignment horizontal="center" vertical="center"/>
    </xf>
    <xf numFmtId="0" fontId="42" fillId="0" borderId="20" xfId="97" applyFont="1" applyBorder="1" applyAlignment="1">
      <alignment vertical="center" wrapText="1"/>
    </xf>
    <xf numFmtId="4" fontId="15" fillId="0" borderId="20" xfId="97" applyNumberFormat="1" applyFont="1" applyBorder="1" applyAlignment="1">
      <alignment horizontal="center" vertical="center"/>
    </xf>
    <xf numFmtId="4" fontId="15" fillId="2" borderId="20" xfId="13" applyNumberFormat="1" applyFont="1" applyFill="1" applyBorder="1" applyAlignment="1">
      <alignment horizontal="center" vertical="center"/>
    </xf>
    <xf numFmtId="4" fontId="15" fillId="0" borderId="20" xfId="97" applyNumberFormat="1" applyFont="1" applyFill="1" applyBorder="1" applyAlignment="1">
      <alignment horizontal="center" vertical="center"/>
    </xf>
    <xf numFmtId="164" fontId="15" fillId="0" borderId="51" xfId="8" applyFont="1" applyBorder="1" applyAlignment="1">
      <alignment horizontal="center" vertical="center" wrapText="1"/>
    </xf>
    <xf numFmtId="0" fontId="42" fillId="0" borderId="20" xfId="97" applyFont="1" applyFill="1" applyBorder="1" applyAlignment="1">
      <alignment horizontal="center" vertical="center" wrapText="1"/>
    </xf>
    <xf numFmtId="0" fontId="42" fillId="0" borderId="20" xfId="97" applyFont="1" applyFill="1" applyBorder="1" applyAlignment="1">
      <alignment vertical="center" wrapText="1"/>
    </xf>
    <xf numFmtId="0" fontId="15" fillId="0" borderId="20" xfId="97" applyFont="1" applyBorder="1" applyAlignment="1">
      <alignment horizontal="center" vertical="center"/>
    </xf>
    <xf numFmtId="2" fontId="42" fillId="0" borderId="20" xfId="97" applyNumberFormat="1" applyFont="1" applyFill="1" applyBorder="1" applyAlignment="1">
      <alignment horizontal="center" vertical="center"/>
    </xf>
    <xf numFmtId="2" fontId="42" fillId="0" borderId="20" xfId="97" applyNumberFormat="1" applyFont="1" applyFill="1" applyBorder="1" applyAlignment="1">
      <alignment horizontal="right" vertical="center"/>
    </xf>
    <xf numFmtId="4" fontId="15" fillId="0" borderId="51" xfId="97" applyNumberFormat="1" applyFont="1" applyBorder="1" applyAlignment="1">
      <alignment vertical="center"/>
    </xf>
    <xf numFmtId="164" fontId="24" fillId="0" borderId="51" xfId="7" applyFont="1" applyFill="1" applyBorder="1" applyAlignment="1">
      <alignment vertical="center"/>
    </xf>
    <xf numFmtId="0" fontId="41" fillId="0" borderId="0" xfId="1" applyFont="1" applyFill="1" applyBorder="1" applyAlignment="1">
      <alignment horizontal="left"/>
    </xf>
    <xf numFmtId="0" fontId="15" fillId="0" borderId="2" xfId="0" applyFont="1" applyBorder="1"/>
    <xf numFmtId="0" fontId="24" fillId="0" borderId="50" xfId="0" applyNumberFormat="1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vertical="center"/>
    </xf>
    <xf numFmtId="0" fontId="24" fillId="0" borderId="20" xfId="0" applyNumberFormat="1" applyFont="1" applyFill="1" applyBorder="1" applyAlignment="1">
      <alignment horizontal="center" vertical="center"/>
    </xf>
    <xf numFmtId="0" fontId="24" fillId="0" borderId="51" xfId="7" applyNumberFormat="1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/>
    </xf>
    <xf numFmtId="0" fontId="15" fillId="0" borderId="21" xfId="0" applyFont="1" applyBorder="1" applyAlignment="1"/>
    <xf numFmtId="0" fontId="15" fillId="0" borderId="2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14" fontId="15" fillId="0" borderId="50" xfId="0" applyNumberFormat="1" applyFont="1" applyBorder="1" applyAlignment="1">
      <alignment horizontal="center"/>
    </xf>
    <xf numFmtId="1" fontId="15" fillId="0" borderId="21" xfId="0" applyNumberFormat="1" applyFont="1" applyBorder="1" applyAlignment="1"/>
    <xf numFmtId="0" fontId="24" fillId="0" borderId="54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80" fillId="0" borderId="0" xfId="1" applyFont="1" applyAlignment="1">
      <alignment horizontal="center" vertical="center"/>
    </xf>
    <xf numFmtId="0" fontId="81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2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 wrapText="1"/>
    </xf>
    <xf numFmtId="0" fontId="14" fillId="0" borderId="51" xfId="2" applyFont="1" applyFill="1" applyBorder="1" applyAlignment="1">
      <alignment horizontal="center" vertical="center" wrapText="1"/>
    </xf>
    <xf numFmtId="0" fontId="13" fillId="0" borderId="53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181" fontId="4" fillId="0" borderId="91" xfId="2" applyNumberFormat="1" applyFill="1" applyBorder="1" applyAlignment="1">
      <alignment vertical="center"/>
    </xf>
    <xf numFmtId="0" fontId="13" fillId="0" borderId="53" xfId="0" applyFont="1" applyFill="1" applyBorder="1" applyAlignment="1">
      <alignment horizontal="right" vertical="center"/>
    </xf>
    <xf numFmtId="17" fontId="13" fillId="0" borderId="53" xfId="0" applyNumberFormat="1" applyFont="1" applyFill="1" applyBorder="1" applyAlignment="1">
      <alignment horizontal="center" vertical="center"/>
    </xf>
    <xf numFmtId="164" fontId="13" fillId="0" borderId="0" xfId="7" applyFont="1" applyFill="1" applyBorder="1" applyAlignment="1">
      <alignment vertical="center"/>
    </xf>
    <xf numFmtId="0" fontId="34" fillId="0" borderId="20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164" fontId="13" fillId="0" borderId="20" xfId="7" applyFont="1" applyBorder="1" applyAlignment="1">
      <alignment horizontal="right" vertical="center" wrapText="1"/>
    </xf>
    <xf numFmtId="0" fontId="13" fillId="0" borderId="0" xfId="7" applyNumberFormat="1" applyFont="1" applyFill="1" applyAlignment="1">
      <alignment vertical="center"/>
    </xf>
    <xf numFmtId="9" fontId="13" fillId="0" borderId="0" xfId="5" applyFont="1" applyFill="1" applyAlignment="1">
      <alignment vertical="center"/>
    </xf>
    <xf numFmtId="9" fontId="13" fillId="0" borderId="0" xfId="5" applyFont="1" applyFill="1" applyBorder="1" applyAlignment="1">
      <alignment horizontal="center" vertical="center"/>
    </xf>
    <xf numFmtId="9" fontId="13" fillId="0" borderId="0" xfId="5" applyFont="1" applyFill="1" applyBorder="1" applyAlignment="1">
      <alignment vertical="center"/>
    </xf>
    <xf numFmtId="164" fontId="13" fillId="0" borderId="0" xfId="7" applyFont="1" applyFill="1" applyBorder="1" applyAlignment="1">
      <alignment horizontal="center" vertical="center"/>
    </xf>
    <xf numFmtId="9" fontId="13" fillId="0" borderId="0" xfId="5" applyFont="1" applyFill="1" applyAlignment="1">
      <alignment horizontal="right" vertical="center"/>
    </xf>
    <xf numFmtId="10" fontId="14" fillId="4" borderId="47" xfId="0" applyNumberFormat="1" applyFont="1" applyFill="1" applyBorder="1" applyAlignment="1">
      <alignment horizontal="center" vertical="center" wrapText="1"/>
    </xf>
    <xf numFmtId="10" fontId="14" fillId="5" borderId="21" xfId="5" applyNumberFormat="1" applyFont="1" applyFill="1" applyBorder="1" applyAlignment="1">
      <alignment horizontal="right" vertical="center" wrapText="1"/>
    </xf>
    <xf numFmtId="10" fontId="13" fillId="5" borderId="21" xfId="0" applyNumberFormat="1" applyFont="1" applyFill="1" applyBorder="1" applyAlignment="1">
      <alignment horizontal="right" vertical="center" wrapText="1"/>
    </xf>
    <xf numFmtId="168" fontId="11" fillId="0" borderId="81" xfId="0" applyNumberFormat="1" applyFont="1" applyFill="1" applyBorder="1" applyAlignment="1">
      <alignment horizontal="right" vertical="center"/>
    </xf>
    <xf numFmtId="9" fontId="33" fillId="0" borderId="20" xfId="5" applyFont="1" applyFill="1" applyBorder="1" applyAlignment="1">
      <alignment horizontal="center" vertical="center"/>
    </xf>
    <xf numFmtId="164" fontId="33" fillId="0" borderId="20" xfId="7" applyFont="1" applyFill="1" applyBorder="1" applyAlignment="1">
      <alignment horizontal="center" vertical="center"/>
    </xf>
    <xf numFmtId="9" fontId="13" fillId="0" borderId="20" xfId="5" applyFont="1" applyFill="1" applyBorder="1" applyAlignment="1">
      <alignment vertical="center"/>
    </xf>
    <xf numFmtId="43" fontId="13" fillId="0" borderId="20" xfId="0" applyNumberFormat="1" applyFont="1" applyFill="1" applyBorder="1" applyAlignment="1">
      <alignment vertical="center"/>
    </xf>
    <xf numFmtId="164" fontId="13" fillId="0" borderId="20" xfId="7" applyFont="1" applyFill="1" applyBorder="1" applyAlignment="1">
      <alignment vertical="center"/>
    </xf>
    <xf numFmtId="9" fontId="14" fillId="0" borderId="20" xfId="5" applyFont="1" applyFill="1" applyBorder="1" applyAlignment="1">
      <alignment vertical="center"/>
    </xf>
    <xf numFmtId="164" fontId="14" fillId="0" borderId="20" xfId="7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9" fontId="13" fillId="0" borderId="0" xfId="0" applyNumberFormat="1" applyFont="1" applyFill="1" applyAlignment="1">
      <alignment vertical="center"/>
    </xf>
    <xf numFmtId="9" fontId="13" fillId="6" borderId="0" xfId="5" applyFont="1" applyFill="1" applyAlignment="1">
      <alignment vertical="center"/>
    </xf>
    <xf numFmtId="9" fontId="13" fillId="6" borderId="20" xfId="5" applyFont="1" applyFill="1" applyBorder="1" applyAlignment="1">
      <alignment vertical="center"/>
    </xf>
    <xf numFmtId="9" fontId="14" fillId="6" borderId="20" xfId="5" applyFont="1" applyFill="1" applyBorder="1" applyAlignment="1">
      <alignment vertical="center"/>
    </xf>
    <xf numFmtId="0" fontId="14" fillId="6" borderId="5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164" fontId="14" fillId="6" borderId="20" xfId="7" applyFont="1" applyFill="1" applyBorder="1" applyAlignment="1">
      <alignment horizontal="right" vertical="center" wrapText="1"/>
    </xf>
    <xf numFmtId="4" fontId="14" fillId="6" borderId="20" xfId="0" applyNumberFormat="1" applyFont="1" applyFill="1" applyBorder="1" applyAlignment="1">
      <alignment horizontal="right" vertical="center" wrapText="1"/>
    </xf>
    <xf numFmtId="164" fontId="13" fillId="6" borderId="20" xfId="7" applyFont="1" applyFill="1" applyBorder="1" applyAlignment="1">
      <alignment vertical="center"/>
    </xf>
    <xf numFmtId="0" fontId="13" fillId="6" borderId="20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3" fillId="0" borderId="50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4" fillId="6" borderId="20" xfId="0" applyFont="1" applyFill="1" applyBorder="1" applyAlignment="1">
      <alignment vertical="center" wrapText="1"/>
    </xf>
    <xf numFmtId="185" fontId="13" fillId="0" borderId="0" xfId="0" applyNumberFormat="1" applyFont="1" applyFill="1" applyAlignment="1">
      <alignment vertical="center"/>
    </xf>
    <xf numFmtId="185" fontId="13" fillId="0" borderId="20" xfId="5" applyNumberFormat="1" applyFont="1" applyFill="1" applyBorder="1" applyAlignment="1">
      <alignment vertical="center"/>
    </xf>
    <xf numFmtId="185" fontId="13" fillId="0" borderId="20" xfId="0" applyNumberFormat="1" applyFont="1" applyFill="1" applyBorder="1" applyAlignment="1">
      <alignment vertical="center"/>
    </xf>
    <xf numFmtId="185" fontId="14" fillId="0" borderId="20" xfId="0" applyNumberFormat="1" applyFont="1" applyFill="1" applyBorder="1" applyAlignment="1">
      <alignment vertical="center"/>
    </xf>
    <xf numFmtId="185" fontId="13" fillId="6" borderId="20" xfId="0" applyNumberFormat="1" applyFont="1" applyFill="1" applyBorder="1" applyAlignment="1">
      <alignment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6" fontId="33" fillId="0" borderId="0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24" fillId="0" borderId="0" xfId="4" applyFont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6" fontId="33" fillId="0" borderId="0" xfId="0" applyNumberFormat="1" applyFont="1" applyFill="1" applyBorder="1" applyAlignment="1">
      <alignment vertical="center"/>
    </xf>
    <xf numFmtId="0" fontId="52" fillId="2" borderId="20" xfId="0" applyFont="1" applyFill="1" applyBorder="1" applyAlignment="1">
      <alignment vertical="center" wrapText="1"/>
    </xf>
    <xf numFmtId="0" fontId="84" fillId="2" borderId="20" xfId="0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6" fontId="0" fillId="0" borderId="0" xfId="0" applyNumberFormat="1" applyAlignment="1">
      <alignment vertical="center"/>
    </xf>
    <xf numFmtId="0" fontId="15" fillId="0" borderId="20" xfId="2" applyFont="1" applyFill="1" applyBorder="1" applyAlignment="1">
      <alignment horizontal="center" vertical="center"/>
    </xf>
    <xf numFmtId="168" fontId="6" fillId="0" borderId="20" xfId="6" applyNumberFormat="1" applyFont="1" applyBorder="1" applyAlignment="1">
      <alignment horizontal="center" vertical="center"/>
    </xf>
    <xf numFmtId="10" fontId="6" fillId="0" borderId="20" xfId="6" applyNumberFormat="1" applyFont="1" applyBorder="1" applyAlignment="1">
      <alignment horizontal="center" vertical="center"/>
    </xf>
    <xf numFmtId="10" fontId="6" fillId="0" borderId="53" xfId="6" applyNumberFormat="1" applyFont="1" applyBorder="1" applyAlignment="1">
      <alignment horizontal="center" vertical="center"/>
    </xf>
    <xf numFmtId="10" fontId="0" fillId="0" borderId="0" xfId="5" applyNumberFormat="1" applyFont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/>
    <xf numFmtId="0" fontId="0" fillId="0" borderId="51" xfId="0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87" fillId="0" borderId="20" xfId="97" applyFont="1" applyBorder="1" applyAlignment="1">
      <alignment horizontal="left" vertical="center" wrapText="1"/>
    </xf>
    <xf numFmtId="43" fontId="87" fillId="0" borderId="20" xfId="100" applyFont="1" applyBorder="1" applyAlignment="1">
      <alignment horizontal="center" vertical="center" wrapText="1"/>
    </xf>
    <xf numFmtId="179" fontId="87" fillId="0" borderId="20" xfId="97" applyNumberFormat="1" applyFont="1" applyBorder="1" applyAlignment="1">
      <alignment horizontal="center" vertical="center"/>
    </xf>
    <xf numFmtId="0" fontId="3" fillId="0" borderId="20" xfId="97" applyNumberFormat="1" applyFont="1" applyFill="1" applyBorder="1" applyAlignment="1">
      <alignment horizontal="center"/>
    </xf>
    <xf numFmtId="164" fontId="15" fillId="0" borderId="20" xfId="8" applyFont="1" applyBorder="1" applyAlignment="1">
      <alignment horizontal="center" vertical="center" wrapText="1"/>
    </xf>
    <xf numFmtId="4" fontId="15" fillId="0" borderId="20" xfId="97" applyNumberFormat="1" applyFont="1" applyBorder="1" applyAlignment="1">
      <alignment vertical="center"/>
    </xf>
    <xf numFmtId="164" fontId="24" fillId="0" borderId="20" xfId="7" applyFont="1" applyFill="1" applyBorder="1" applyAlignment="1">
      <alignment vertical="center"/>
    </xf>
    <xf numFmtId="43" fontId="0" fillId="0" borderId="0" xfId="5" applyNumberFormat="1" applyFont="1" applyAlignment="1">
      <alignment vertical="center"/>
    </xf>
    <xf numFmtId="0" fontId="13" fillId="0" borderId="20" xfId="0" applyFont="1" applyFill="1" applyBorder="1" applyAlignment="1">
      <alignment horizontal="center" vertical="center"/>
    </xf>
    <xf numFmtId="0" fontId="42" fillId="0" borderId="34" xfId="1" applyFont="1" applyFill="1" applyBorder="1" applyAlignment="1">
      <alignment horizontal="center" vertical="center"/>
    </xf>
    <xf numFmtId="164" fontId="42" fillId="3" borderId="13" xfId="7" applyFont="1" applyFill="1" applyBorder="1" applyAlignment="1">
      <alignment vertical="center"/>
    </xf>
    <xf numFmtId="164" fontId="42" fillId="3" borderId="69" xfId="7" applyFont="1" applyFill="1" applyBorder="1" applyAlignment="1">
      <alignment vertical="center"/>
    </xf>
    <xf numFmtId="0" fontId="41" fillId="3" borderId="20" xfId="1" applyFont="1" applyFill="1" applyBorder="1" applyAlignment="1">
      <alignment horizontal="center" vertical="center" wrapText="1"/>
    </xf>
    <xf numFmtId="0" fontId="42" fillId="3" borderId="20" xfId="1" applyFont="1" applyFill="1" applyBorder="1" applyAlignment="1">
      <alignment horizontal="center" vertical="center"/>
    </xf>
    <xf numFmtId="0" fontId="42" fillId="3" borderId="20" xfId="1" applyFont="1" applyFill="1" applyBorder="1" applyAlignment="1">
      <alignment vertical="center" wrapText="1" shrinkToFit="1"/>
    </xf>
    <xf numFmtId="164" fontId="42" fillId="3" borderId="20" xfId="7" applyFont="1" applyFill="1" applyBorder="1" applyAlignment="1">
      <alignment horizontal="center" vertical="center"/>
    </xf>
    <xf numFmtId="164" fontId="42" fillId="3" borderId="20" xfId="7" applyFont="1" applyFill="1" applyBorder="1" applyAlignment="1">
      <alignment vertical="center"/>
    </xf>
    <xf numFmtId="0" fontId="41" fillId="3" borderId="20" xfId="1" applyFont="1" applyFill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41" fillId="3" borderId="50" xfId="1" applyFont="1" applyFill="1" applyBorder="1" applyAlignment="1">
      <alignment horizontal="center" vertical="center" wrapText="1"/>
    </xf>
    <xf numFmtId="0" fontId="41" fillId="3" borderId="51" xfId="1" applyFont="1" applyFill="1" applyBorder="1" applyAlignment="1">
      <alignment horizontal="center" vertical="center" wrapText="1"/>
    </xf>
    <xf numFmtId="0" fontId="42" fillId="3" borderId="50" xfId="1" applyFont="1" applyFill="1" applyBorder="1" applyAlignment="1">
      <alignment horizontal="center" vertical="center"/>
    </xf>
    <xf numFmtId="164" fontId="42" fillId="0" borderId="51" xfId="7" applyFont="1" applyFill="1" applyBorder="1" applyAlignment="1">
      <alignment vertical="center"/>
    </xf>
    <xf numFmtId="0" fontId="41" fillId="3" borderId="52" xfId="1" applyFont="1" applyFill="1" applyBorder="1" applyAlignment="1">
      <alignment horizontal="center" vertical="center"/>
    </xf>
    <xf numFmtId="164" fontId="41" fillId="3" borderId="54" xfId="7" applyFont="1" applyFill="1" applyBorder="1" applyAlignment="1">
      <alignment vertical="center"/>
    </xf>
    <xf numFmtId="0" fontId="24" fillId="34" borderId="119" xfId="2" applyFont="1" applyFill="1" applyBorder="1" applyAlignment="1">
      <alignment horizontal="center" vertical="center"/>
    </xf>
    <xf numFmtId="0" fontId="28" fillId="34" borderId="118" xfId="1" applyFont="1" applyFill="1" applyBorder="1" applyAlignment="1">
      <alignment horizontal="center" vertical="center"/>
    </xf>
    <xf numFmtId="0" fontId="41" fillId="3" borderId="20" xfId="1" applyFont="1" applyFill="1" applyBorder="1" applyAlignment="1">
      <alignment vertical="center"/>
    </xf>
    <xf numFmtId="164" fontId="42" fillId="3" borderId="20" xfId="7" applyFont="1" applyFill="1" applyBorder="1" applyAlignment="1">
      <alignment horizontal="right" vertical="center"/>
    </xf>
    <xf numFmtId="173" fontId="42" fillId="3" borderId="20" xfId="1" applyNumberFormat="1" applyFont="1" applyFill="1" applyBorder="1" applyAlignment="1">
      <alignment vertical="center"/>
    </xf>
    <xf numFmtId="174" fontId="42" fillId="3" borderId="20" xfId="1" applyNumberFormat="1" applyFont="1" applyFill="1" applyBorder="1" applyAlignment="1">
      <alignment vertical="center"/>
    </xf>
    <xf numFmtId="0" fontId="41" fillId="3" borderId="50" xfId="1" applyFont="1" applyFill="1" applyBorder="1" applyAlignment="1">
      <alignment horizontal="center" vertical="center"/>
    </xf>
    <xf numFmtId="0" fontId="41" fillId="3" borderId="51" xfId="1" applyFont="1" applyFill="1" applyBorder="1" applyAlignment="1">
      <alignment horizontal="center" vertical="center"/>
    </xf>
    <xf numFmtId="0" fontId="42" fillId="0" borderId="50" xfId="1" applyFont="1" applyFill="1" applyBorder="1" applyAlignment="1">
      <alignment horizontal="center" vertical="center"/>
    </xf>
    <xf numFmtId="164" fontId="42" fillId="3" borderId="51" xfId="7" applyFont="1" applyFill="1" applyBorder="1" applyAlignment="1">
      <alignment horizontal="right" vertical="center"/>
    </xf>
    <xf numFmtId="183" fontId="42" fillId="3" borderId="51" xfId="1" applyNumberFormat="1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164" fontId="15" fillId="0" borderId="0" xfId="7" applyFont="1" applyBorder="1" applyAlignment="1">
      <alignment horizontal="center" vertical="center"/>
    </xf>
    <xf numFmtId="182" fontId="42" fillId="3" borderId="20" xfId="1" applyNumberFormat="1" applyFont="1" applyFill="1" applyBorder="1" applyAlignment="1">
      <alignment vertical="center"/>
    </xf>
    <xf numFmtId="183" fontId="41" fillId="3" borderId="54" xfId="1" applyNumberFormat="1" applyFont="1" applyFill="1" applyBorder="1" applyAlignment="1">
      <alignment vertical="center"/>
    </xf>
    <xf numFmtId="0" fontId="42" fillId="0" borderId="20" xfId="1" applyFont="1" applyFill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164" fontId="4" fillId="0" borderId="0" xfId="7" applyFont="1" applyBorder="1" applyAlignment="1">
      <alignment vertical="center"/>
    </xf>
    <xf numFmtId="43" fontId="4" fillId="0" borderId="0" xfId="2" applyNumberFormat="1" applyBorder="1" applyAlignment="1">
      <alignment vertical="center"/>
    </xf>
    <xf numFmtId="0" fontId="15" fillId="0" borderId="130" xfId="2" applyFont="1" applyBorder="1" applyAlignment="1">
      <alignment horizontal="center" vertical="center"/>
    </xf>
    <xf numFmtId="0" fontId="15" fillId="0" borderId="131" xfId="2" applyFont="1" applyBorder="1" applyAlignment="1">
      <alignment horizontal="center" vertical="center"/>
    </xf>
    <xf numFmtId="0" fontId="15" fillId="0" borderId="132" xfId="2" applyFont="1" applyBorder="1" applyAlignment="1">
      <alignment horizontal="center" vertical="center"/>
    </xf>
    <xf numFmtId="164" fontId="4" fillId="3" borderId="0" xfId="7" applyFont="1" applyFill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87" fontId="0" fillId="0" borderId="0" xfId="5" applyNumberFormat="1" applyFont="1" applyAlignment="1">
      <alignment vertical="center"/>
    </xf>
    <xf numFmtId="4" fontId="13" fillId="0" borderId="0" xfId="0" applyNumberFormat="1" applyFont="1" applyFill="1" applyAlignment="1">
      <alignment vertical="center"/>
    </xf>
    <xf numFmtId="164" fontId="4" fillId="0" borderId="0" xfId="7" applyFont="1" applyAlignment="1">
      <alignment vertical="center"/>
    </xf>
    <xf numFmtId="164" fontId="4" fillId="0" borderId="0" xfId="2" applyNumberFormat="1" applyAlignment="1">
      <alignment vertical="center"/>
    </xf>
    <xf numFmtId="188" fontId="87" fillId="0" borderId="20" xfId="97" applyNumberFormat="1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2" fillId="0" borderId="122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17" fontId="34" fillId="0" borderId="43" xfId="0" applyNumberFormat="1" applyFont="1" applyBorder="1" applyAlignment="1">
      <alignment horizontal="center" vertical="center"/>
    </xf>
    <xf numFmtId="17" fontId="34" fillId="0" borderId="3" xfId="0" applyNumberFormat="1" applyFont="1" applyBorder="1" applyAlignment="1">
      <alignment horizontal="center" vertical="center"/>
    </xf>
    <xf numFmtId="17" fontId="34" fillId="0" borderId="4" xfId="0" applyNumberFormat="1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51" xfId="2" applyFont="1" applyFill="1" applyBorder="1" applyAlignment="1">
      <alignment horizontal="left" vertical="center"/>
    </xf>
    <xf numFmtId="10" fontId="33" fillId="0" borderId="20" xfId="2" applyNumberFormat="1" applyFont="1" applyFill="1" applyBorder="1" applyAlignment="1">
      <alignment horizontal="center" vertical="center"/>
    </xf>
    <xf numFmtId="4" fontId="13" fillId="0" borderId="53" xfId="2" applyNumberFormat="1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center" vertical="center" wrapText="1"/>
    </xf>
    <xf numFmtId="0" fontId="13" fillId="0" borderId="51" xfId="2" applyFont="1" applyFill="1" applyBorder="1" applyAlignment="1">
      <alignment horizontal="center" vertical="center" wrapText="1"/>
    </xf>
    <xf numFmtId="0" fontId="13" fillId="0" borderId="53" xfId="2" applyFont="1" applyFill="1" applyBorder="1" applyAlignment="1">
      <alignment horizontal="center" vertical="center" wrapText="1"/>
    </xf>
    <xf numFmtId="0" fontId="13" fillId="0" borderId="54" xfId="2" applyFont="1" applyFill="1" applyBorder="1" applyAlignment="1">
      <alignment horizontal="center" vertical="center" wrapText="1"/>
    </xf>
    <xf numFmtId="0" fontId="15" fillId="0" borderId="74" xfId="2" applyFont="1" applyBorder="1" applyAlignment="1">
      <alignment horizontal="center" vertical="center" wrapText="1"/>
    </xf>
    <xf numFmtId="0" fontId="15" fillId="0" borderId="69" xfId="2" applyFont="1" applyBorder="1" applyAlignment="1">
      <alignment horizontal="center" vertical="center" wrapText="1"/>
    </xf>
    <xf numFmtId="0" fontId="15" fillId="0" borderId="73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 wrapText="1"/>
    </xf>
    <xf numFmtId="0" fontId="15" fillId="0" borderId="34" xfId="2" applyFont="1" applyBorder="1" applyAlignment="1">
      <alignment horizontal="center" vertical="center" wrapText="1"/>
    </xf>
    <xf numFmtId="0" fontId="15" fillId="0" borderId="85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 wrapText="1"/>
    </xf>
    <xf numFmtId="0" fontId="15" fillId="0" borderId="83" xfId="2" applyFont="1" applyBorder="1" applyAlignment="1">
      <alignment horizontal="center" vertical="center" wrapText="1"/>
    </xf>
    <xf numFmtId="0" fontId="12" fillId="0" borderId="69" xfId="2" applyFont="1" applyFill="1" applyBorder="1" applyAlignment="1">
      <alignment horizontal="center" vertical="center"/>
    </xf>
    <xf numFmtId="0" fontId="12" fillId="0" borderId="72" xfId="2" applyFont="1" applyFill="1" applyBorder="1" applyAlignment="1">
      <alignment horizontal="center" vertical="center"/>
    </xf>
    <xf numFmtId="0" fontId="12" fillId="0" borderId="70" xfId="2" applyFont="1" applyFill="1" applyBorder="1" applyAlignment="1">
      <alignment horizontal="center" vertical="center"/>
    </xf>
    <xf numFmtId="0" fontId="12" fillId="0" borderId="71" xfId="2" applyFont="1" applyFill="1" applyBorder="1" applyAlignment="1">
      <alignment horizontal="center" vertical="center"/>
    </xf>
    <xf numFmtId="4" fontId="12" fillId="0" borderId="71" xfId="2" applyNumberFormat="1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wrapText="1"/>
    </xf>
    <xf numFmtId="184" fontId="14" fillId="3" borderId="20" xfId="0" applyNumberFormat="1" applyFont="1" applyFill="1" applyBorder="1" applyAlignment="1">
      <alignment horizontal="center" vertical="center"/>
    </xf>
    <xf numFmtId="184" fontId="14" fillId="3" borderId="51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 wrapText="1"/>
    </xf>
    <xf numFmtId="4" fontId="14" fillId="3" borderId="20" xfId="0" applyNumberFormat="1" applyFont="1" applyFill="1" applyBorder="1" applyAlignment="1">
      <alignment horizontal="center" vertical="center"/>
    </xf>
    <xf numFmtId="4" fontId="14" fillId="3" borderId="51" xfId="0" applyNumberFormat="1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left" vertical="center" wrapText="1"/>
    </xf>
    <xf numFmtId="184" fontId="34" fillId="0" borderId="20" xfId="0" applyNumberFormat="1" applyFont="1" applyBorder="1" applyAlignment="1">
      <alignment horizontal="center" vertical="center"/>
    </xf>
    <xf numFmtId="184" fontId="34" fillId="0" borderId="51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4" fontId="34" fillId="0" borderId="20" xfId="0" applyNumberFormat="1" applyFont="1" applyBorder="1" applyAlignment="1">
      <alignment horizontal="center" vertical="center" wrapText="1"/>
    </xf>
    <xf numFmtId="4" fontId="34" fillId="0" borderId="51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4" fontId="33" fillId="0" borderId="20" xfId="0" applyNumberFormat="1" applyFont="1" applyFill="1" applyBorder="1" applyAlignment="1">
      <alignment horizontal="center" vertical="center"/>
    </xf>
    <xf numFmtId="4" fontId="33" fillId="0" borderId="53" xfId="0" applyNumberFormat="1" applyFont="1" applyFill="1" applyBorder="1" applyAlignment="1">
      <alignment horizontal="center" vertical="center"/>
    </xf>
    <xf numFmtId="4" fontId="13" fillId="0" borderId="91" xfId="0" applyNumberFormat="1" applyFont="1" applyBorder="1" applyAlignment="1">
      <alignment horizontal="center" vertical="center"/>
    </xf>
    <xf numFmtId="4" fontId="13" fillId="0" borderId="126" xfId="0" applyNumberFormat="1" applyFont="1" applyBorder="1" applyAlignment="1">
      <alignment horizontal="center" vertical="center"/>
    </xf>
    <xf numFmtId="4" fontId="13" fillId="0" borderId="45" xfId="0" applyNumberFormat="1" applyFont="1" applyBorder="1" applyAlignment="1">
      <alignment horizontal="center" vertical="center"/>
    </xf>
    <xf numFmtId="164" fontId="13" fillId="3" borderId="91" xfId="8" applyFont="1" applyFill="1" applyBorder="1" applyAlignment="1">
      <alignment horizontal="center" vertical="center"/>
    </xf>
    <xf numFmtId="164" fontId="13" fillId="3" borderId="126" xfId="8" applyFont="1" applyFill="1" applyBorder="1" applyAlignment="1">
      <alignment horizontal="center" vertical="center"/>
    </xf>
    <xf numFmtId="164" fontId="13" fillId="3" borderId="45" xfId="8" applyFont="1" applyFill="1" applyBorder="1" applyAlignment="1">
      <alignment horizontal="center" vertical="center"/>
    </xf>
    <xf numFmtId="0" fontId="33" fillId="0" borderId="26" xfId="2" applyFont="1" applyFill="1" applyBorder="1" applyAlignment="1">
      <alignment horizontal="center" vertical="center" wrapText="1"/>
    </xf>
    <xf numFmtId="0" fontId="33" fillId="0" borderId="60" xfId="2" applyFont="1" applyFill="1" applyBorder="1" applyAlignment="1">
      <alignment horizontal="center" vertical="center" wrapText="1"/>
    </xf>
    <xf numFmtId="0" fontId="33" fillId="0" borderId="9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95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2" fillId="0" borderId="12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4" fontId="13" fillId="0" borderId="53" xfId="2" applyNumberFormat="1" applyFont="1" applyBorder="1" applyAlignment="1">
      <alignment horizontal="left" vertical="center"/>
    </xf>
    <xf numFmtId="10" fontId="33" fillId="0" borderId="53" xfId="2" applyNumberFormat="1" applyFont="1" applyBorder="1" applyAlignment="1">
      <alignment horizontal="center" vertical="center"/>
    </xf>
    <xf numFmtId="0" fontId="33" fillId="0" borderId="53" xfId="2" applyNumberFormat="1" applyFont="1" applyBorder="1" applyAlignment="1">
      <alignment horizontal="center" vertical="center"/>
    </xf>
    <xf numFmtId="49" fontId="33" fillId="0" borderId="20" xfId="2" applyNumberFormat="1" applyFont="1" applyBorder="1" applyAlignment="1">
      <alignment horizontal="center" vertical="center"/>
    </xf>
    <xf numFmtId="0" fontId="33" fillId="0" borderId="20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4" fontId="14" fillId="0" borderId="53" xfId="2" applyNumberFormat="1" applyFont="1" applyBorder="1" applyAlignment="1">
      <alignment horizontal="center" vertical="center"/>
    </xf>
    <xf numFmtId="4" fontId="14" fillId="0" borderId="54" xfId="2" applyNumberFormat="1" applyFont="1" applyBorder="1" applyAlignment="1">
      <alignment horizontal="center" vertical="center"/>
    </xf>
    <xf numFmtId="0" fontId="12" fillId="0" borderId="111" xfId="2" applyFont="1" applyBorder="1" applyAlignment="1">
      <alignment horizontal="center" vertical="center"/>
    </xf>
    <xf numFmtId="0" fontId="12" fillId="0" borderId="92" xfId="2" applyFont="1" applyBorder="1" applyAlignment="1">
      <alignment horizontal="center" vertical="center"/>
    </xf>
    <xf numFmtId="0" fontId="12" fillId="0" borderId="112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3" fillId="3" borderId="120" xfId="0" applyFont="1" applyFill="1" applyBorder="1" applyAlignment="1">
      <alignment horizontal="center" vertical="center"/>
    </xf>
    <xf numFmtId="0" fontId="13" fillId="3" borderId="12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4" fontId="13" fillId="3" borderId="64" xfId="8" applyNumberFormat="1" applyFont="1" applyFill="1" applyBorder="1" applyAlignment="1">
      <alignment horizontal="center" vertical="center"/>
    </xf>
    <xf numFmtId="4" fontId="13" fillId="3" borderId="116" xfId="8" applyNumberFormat="1" applyFont="1" applyFill="1" applyBorder="1" applyAlignment="1">
      <alignment horizontal="center" vertical="center"/>
    </xf>
    <xf numFmtId="4" fontId="13" fillId="3" borderId="49" xfId="8" applyNumberFormat="1" applyFont="1" applyFill="1" applyBorder="1" applyAlignment="1">
      <alignment horizontal="center" vertical="center"/>
    </xf>
    <xf numFmtId="4" fontId="13" fillId="0" borderId="91" xfId="2" applyNumberFormat="1" applyFont="1" applyFill="1" applyBorder="1" applyAlignment="1">
      <alignment horizontal="left" vertical="center"/>
    </xf>
    <xf numFmtId="4" fontId="13" fillId="0" borderId="126" xfId="2" applyNumberFormat="1" applyFont="1" applyFill="1" applyBorder="1" applyAlignment="1">
      <alignment horizontal="left" vertical="center"/>
    </xf>
    <xf numFmtId="4" fontId="13" fillId="0" borderId="45" xfId="2" applyNumberFormat="1" applyFont="1" applyFill="1" applyBorder="1" applyAlignment="1">
      <alignment horizontal="left" vertical="center"/>
    </xf>
    <xf numFmtId="0" fontId="5" fillId="3" borderId="55" xfId="2" applyFont="1" applyFill="1" applyBorder="1" applyAlignment="1">
      <alignment horizontal="right" vertical="center"/>
    </xf>
    <xf numFmtId="0" fontId="5" fillId="3" borderId="56" xfId="2" applyFont="1" applyFill="1" applyBorder="1" applyAlignment="1">
      <alignment horizontal="right" vertical="center"/>
    </xf>
    <xf numFmtId="0" fontId="5" fillId="3" borderId="50" xfId="2" applyFont="1" applyFill="1" applyBorder="1" applyAlignment="1">
      <alignment horizontal="right" vertical="center"/>
    </xf>
    <xf numFmtId="0" fontId="5" fillId="3" borderId="20" xfId="2" applyFont="1" applyFill="1" applyBorder="1" applyAlignment="1">
      <alignment horizontal="right" vertical="center"/>
    </xf>
    <xf numFmtId="0" fontId="5" fillId="3" borderId="52" xfId="2" applyFont="1" applyFill="1" applyBorder="1" applyAlignment="1">
      <alignment horizontal="right" vertical="center"/>
    </xf>
    <xf numFmtId="0" fontId="5" fillId="3" borderId="53" xfId="2" applyFont="1" applyFill="1" applyBorder="1" applyAlignment="1">
      <alignment horizontal="right" vertical="center"/>
    </xf>
    <xf numFmtId="0" fontId="5" fillId="3" borderId="67" xfId="2" applyFont="1" applyFill="1" applyBorder="1" applyAlignment="1">
      <alignment horizontal="right" vertical="center"/>
    </xf>
    <xf numFmtId="0" fontId="5" fillId="3" borderId="68" xfId="2" applyFont="1" applyFill="1" applyBorder="1" applyAlignment="1">
      <alignment horizontal="right" vertical="center"/>
    </xf>
    <xf numFmtId="164" fontId="26" fillId="3" borderId="50" xfId="8" applyFont="1" applyFill="1" applyBorder="1" applyAlignment="1">
      <alignment horizontal="center" vertical="center" wrapText="1"/>
    </xf>
    <xf numFmtId="164" fontId="26" fillId="3" borderId="20" xfId="8" applyFont="1" applyFill="1" applyBorder="1" applyAlignment="1">
      <alignment horizontal="center" vertical="center" wrapText="1"/>
    </xf>
    <xf numFmtId="164" fontId="26" fillId="3" borderId="51" xfId="8" applyFont="1" applyFill="1" applyBorder="1" applyAlignment="1">
      <alignment horizontal="center" vertical="center" wrapText="1"/>
    </xf>
    <xf numFmtId="4" fontId="4" fillId="3" borderId="50" xfId="2" applyNumberFormat="1" applyFont="1" applyFill="1" applyBorder="1" applyAlignment="1">
      <alignment horizontal="left" vertical="center"/>
    </xf>
    <xf numFmtId="0" fontId="4" fillId="3" borderId="20" xfId="2" applyFill="1" applyBorder="1" applyAlignment="1">
      <alignment horizontal="left" vertical="center"/>
    </xf>
    <xf numFmtId="4" fontId="4" fillId="3" borderId="50" xfId="2" applyNumberForma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right" vertical="center"/>
    </xf>
    <xf numFmtId="0" fontId="4" fillId="3" borderId="23" xfId="2" applyFont="1" applyFill="1" applyBorder="1" applyAlignment="1">
      <alignment horizontal="right" vertical="center"/>
    </xf>
    <xf numFmtId="177" fontId="4" fillId="3" borderId="20" xfId="2" applyNumberFormat="1" applyFill="1" applyBorder="1" applyAlignment="1">
      <alignment horizontal="center" vertical="center"/>
    </xf>
    <xf numFmtId="177" fontId="4" fillId="3" borderId="51" xfId="2" applyNumberForma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83" fillId="3" borderId="55" xfId="2" applyFont="1" applyFill="1" applyBorder="1" applyAlignment="1">
      <alignment horizontal="center" vertical="center" wrapText="1"/>
    </xf>
    <xf numFmtId="0" fontId="83" fillId="3" borderId="56" xfId="2" applyFont="1" applyFill="1" applyBorder="1" applyAlignment="1">
      <alignment horizontal="center" vertical="center" wrapText="1"/>
    </xf>
    <xf numFmtId="0" fontId="83" fillId="3" borderId="50" xfId="2" applyFont="1" applyFill="1" applyBorder="1" applyAlignment="1">
      <alignment horizontal="center" vertical="center" wrapText="1"/>
    </xf>
    <xf numFmtId="0" fontId="83" fillId="3" borderId="20" xfId="2" applyFont="1" applyFill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/>
    </xf>
    <xf numFmtId="0" fontId="4" fillId="3" borderId="67" xfId="2" applyFill="1" applyBorder="1" applyAlignment="1">
      <alignment horizontal="center" vertical="center"/>
    </xf>
    <xf numFmtId="0" fontId="4" fillId="3" borderId="68" xfId="2" applyFill="1" applyBorder="1" applyAlignment="1">
      <alignment horizontal="center" vertical="center"/>
    </xf>
    <xf numFmtId="0" fontId="4" fillId="3" borderId="113" xfId="2" applyFill="1" applyBorder="1" applyAlignment="1">
      <alignment horizontal="center" vertical="center"/>
    </xf>
    <xf numFmtId="4" fontId="3" fillId="3" borderId="50" xfId="2" applyNumberFormat="1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4" fillId="3" borderId="20" xfId="2" applyFill="1" applyBorder="1" applyAlignment="1">
      <alignment horizontal="center" vertical="center"/>
    </xf>
    <xf numFmtId="4" fontId="3" fillId="3" borderId="20" xfId="2" applyNumberFormat="1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179" fontId="4" fillId="3" borderId="20" xfId="7" applyNumberFormat="1" applyFont="1" applyFill="1" applyBorder="1" applyAlignment="1">
      <alignment horizontal="center" vertical="center"/>
    </xf>
    <xf numFmtId="0" fontId="6" fillId="3" borderId="93" xfId="2" applyFont="1" applyFill="1" applyBorder="1" applyAlignment="1">
      <alignment horizontal="center" vertical="center"/>
    </xf>
    <xf numFmtId="0" fontId="6" fillId="3" borderId="61" xfId="2" applyFont="1" applyFill="1" applyBorder="1" applyAlignment="1">
      <alignment horizontal="center" vertical="center"/>
    </xf>
    <xf numFmtId="0" fontId="6" fillId="3" borderId="65" xfId="2" applyFont="1" applyFill="1" applyBorder="1" applyAlignment="1">
      <alignment horizontal="center" vertical="center"/>
    </xf>
    <xf numFmtId="0" fontId="6" fillId="3" borderId="56" xfId="2" applyFont="1" applyFill="1" applyBorder="1" applyAlignment="1">
      <alignment horizontal="center" vertical="center"/>
    </xf>
    <xf numFmtId="0" fontId="6" fillId="3" borderId="57" xfId="2" applyFont="1" applyFill="1" applyBorder="1" applyAlignment="1">
      <alignment horizontal="center" vertical="center"/>
    </xf>
    <xf numFmtId="164" fontId="4" fillId="3" borderId="50" xfId="8" applyFont="1" applyFill="1" applyBorder="1" applyAlignment="1">
      <alignment horizontal="center" vertical="center" wrapText="1"/>
    </xf>
    <xf numFmtId="164" fontId="4" fillId="3" borderId="20" xfId="8" applyFont="1" applyFill="1" applyBorder="1" applyAlignment="1">
      <alignment horizontal="center" vertical="center" wrapText="1"/>
    </xf>
    <xf numFmtId="0" fontId="4" fillId="3" borderId="121" xfId="2" applyFill="1" applyBorder="1" applyAlignment="1">
      <alignment horizontal="center" vertical="center"/>
    </xf>
    <xf numFmtId="0" fontId="4" fillId="3" borderId="62" xfId="2" applyFill="1" applyBorder="1" applyAlignment="1">
      <alignment horizontal="center" vertical="center"/>
    </xf>
    <xf numFmtId="0" fontId="4" fillId="3" borderId="115" xfId="2" applyFill="1" applyBorder="1" applyAlignment="1">
      <alignment horizontal="center" vertical="center"/>
    </xf>
    <xf numFmtId="0" fontId="24" fillId="0" borderId="57" xfId="2" applyFont="1" applyBorder="1" applyAlignment="1">
      <alignment horizontal="center" vertical="center" wrapText="1"/>
    </xf>
    <xf numFmtId="0" fontId="24" fillId="0" borderId="51" xfId="2" applyFont="1" applyBorder="1" applyAlignment="1">
      <alignment horizontal="center" vertical="center" wrapText="1"/>
    </xf>
    <xf numFmtId="10" fontId="33" fillId="0" borderId="53" xfId="2" applyNumberFormat="1" applyFont="1" applyFill="1" applyBorder="1" applyAlignment="1">
      <alignment horizontal="center" vertical="center"/>
    </xf>
    <xf numFmtId="0" fontId="24" fillId="0" borderId="56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0" fontId="24" fillId="0" borderId="55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4" fillId="0" borderId="56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3" fontId="24" fillId="0" borderId="58" xfId="2" applyNumberFormat="1" applyFont="1" applyFill="1" applyBorder="1" applyAlignment="1">
      <alignment horizontal="center" vertical="center"/>
    </xf>
    <xf numFmtId="3" fontId="24" fillId="0" borderId="22" xfId="2" applyNumberFormat="1" applyFont="1" applyFill="1" applyBorder="1" applyAlignment="1">
      <alignment horizontal="center" vertical="center"/>
    </xf>
    <xf numFmtId="3" fontId="24" fillId="0" borderId="59" xfId="2" applyNumberFormat="1" applyFont="1" applyFill="1" applyBorder="1" applyAlignment="1">
      <alignment horizontal="center" vertical="center"/>
    </xf>
    <xf numFmtId="0" fontId="14" fillId="0" borderId="52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center" vertical="center"/>
    </xf>
    <xf numFmtId="4" fontId="14" fillId="0" borderId="53" xfId="2" applyNumberFormat="1" applyFont="1" applyFill="1" applyBorder="1" applyAlignment="1">
      <alignment horizontal="center" vertical="center"/>
    </xf>
    <xf numFmtId="4" fontId="14" fillId="0" borderId="54" xfId="2" applyNumberFormat="1" applyFont="1" applyFill="1" applyBorder="1" applyAlignment="1">
      <alignment horizontal="center" vertical="center"/>
    </xf>
    <xf numFmtId="0" fontId="14" fillId="0" borderId="56" xfId="2" applyFont="1" applyFill="1" applyBorder="1" applyAlignment="1">
      <alignment horizontal="center" vertical="center" wrapText="1"/>
    </xf>
    <xf numFmtId="0" fontId="14" fillId="0" borderId="57" xfId="2" applyFont="1" applyFill="1" applyBorder="1" applyAlignment="1">
      <alignment horizontal="center" vertical="center" wrapText="1"/>
    </xf>
    <xf numFmtId="0" fontId="14" fillId="0" borderId="51" xfId="2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58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59" xfId="2" applyFont="1" applyFill="1" applyBorder="1" applyAlignment="1">
      <alignment horizontal="center" vertical="center"/>
    </xf>
    <xf numFmtId="0" fontId="13" fillId="0" borderId="120" xfId="2" applyFont="1" applyFill="1" applyBorder="1" applyAlignment="1">
      <alignment horizontal="center" vertical="center"/>
    </xf>
    <xf numFmtId="0" fontId="13" fillId="0" borderId="127" xfId="2" applyFont="1" applyFill="1" applyBorder="1" applyAlignment="1">
      <alignment horizontal="center" vertical="center"/>
    </xf>
    <xf numFmtId="0" fontId="13" fillId="0" borderId="48" xfId="2" applyFont="1" applyFill="1" applyBorder="1" applyAlignment="1">
      <alignment horizontal="center" vertical="center"/>
    </xf>
    <xf numFmtId="0" fontId="13" fillId="0" borderId="91" xfId="2" applyFont="1" applyFill="1" applyBorder="1" applyAlignment="1">
      <alignment horizontal="left" vertical="center"/>
    </xf>
    <xf numFmtId="0" fontId="13" fillId="0" borderId="126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2" fontId="13" fillId="0" borderId="91" xfId="2" applyNumberFormat="1" applyFont="1" applyFill="1" applyBorder="1" applyAlignment="1">
      <alignment horizontal="center" vertical="center"/>
    </xf>
    <xf numFmtId="2" fontId="13" fillId="0" borderId="126" xfId="2" applyNumberFormat="1" applyFont="1" applyFill="1" applyBorder="1" applyAlignment="1">
      <alignment horizontal="center" vertical="center"/>
    </xf>
    <xf numFmtId="2" fontId="13" fillId="0" borderId="45" xfId="2" applyNumberFormat="1" applyFont="1" applyFill="1" applyBorder="1" applyAlignment="1">
      <alignment horizontal="center" vertical="center"/>
    </xf>
    <xf numFmtId="164" fontId="13" fillId="0" borderId="91" xfId="8" applyFont="1" applyFill="1" applyBorder="1" applyAlignment="1">
      <alignment horizontal="center" vertical="center" wrapText="1"/>
    </xf>
    <xf numFmtId="164" fontId="13" fillId="0" borderId="126" xfId="8" applyFont="1" applyFill="1" applyBorder="1" applyAlignment="1">
      <alignment horizontal="center" vertical="center" wrapText="1"/>
    </xf>
    <xf numFmtId="164" fontId="13" fillId="0" borderId="45" xfId="8" applyFont="1" applyFill="1" applyBorder="1" applyAlignment="1">
      <alignment horizontal="center" vertical="center" wrapText="1"/>
    </xf>
    <xf numFmtId="164" fontId="13" fillId="0" borderId="64" xfId="8" applyFont="1" applyFill="1" applyBorder="1" applyAlignment="1">
      <alignment horizontal="center" vertical="center"/>
    </xf>
    <xf numFmtId="164" fontId="13" fillId="0" borderId="116" xfId="8" applyFont="1" applyFill="1" applyBorder="1" applyAlignment="1">
      <alignment horizontal="center" vertical="center"/>
    </xf>
    <xf numFmtId="164" fontId="13" fillId="0" borderId="49" xfId="8" applyFont="1" applyFill="1" applyBorder="1" applyAlignment="1">
      <alignment horizontal="center" vertical="center"/>
    </xf>
    <xf numFmtId="0" fontId="12" fillId="0" borderId="111" xfId="2" applyFont="1" applyFill="1" applyBorder="1" applyAlignment="1">
      <alignment horizontal="center" vertical="center"/>
    </xf>
    <xf numFmtId="0" fontId="12" fillId="0" borderId="92" xfId="2" applyFont="1" applyFill="1" applyBorder="1" applyAlignment="1">
      <alignment horizontal="center" vertical="center"/>
    </xf>
    <xf numFmtId="0" fontId="12" fillId="0" borderId="112" xfId="2" applyFont="1" applyFill="1" applyBorder="1" applyAlignment="1">
      <alignment horizontal="center" vertical="center"/>
    </xf>
    <xf numFmtId="0" fontId="14" fillId="0" borderId="55" xfId="2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 wrapText="1"/>
    </xf>
    <xf numFmtId="0" fontId="14" fillId="0" borderId="20" xfId="2" applyFont="1" applyFill="1" applyBorder="1" applyAlignment="1">
      <alignment horizontal="center" vertical="center" wrapText="1"/>
    </xf>
    <xf numFmtId="0" fontId="13" fillId="0" borderId="26" xfId="2" applyFont="1" applyFill="1" applyBorder="1" applyAlignment="1">
      <alignment horizontal="center" vertical="center" wrapText="1"/>
    </xf>
    <xf numFmtId="0" fontId="13" fillId="0" borderId="60" xfId="2" applyFont="1" applyFill="1" applyBorder="1" applyAlignment="1">
      <alignment horizontal="center" vertical="center" wrapText="1"/>
    </xf>
    <xf numFmtId="0" fontId="13" fillId="0" borderId="94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9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2" fillId="0" borderId="39" xfId="2" applyFont="1" applyFill="1" applyBorder="1" applyAlignment="1">
      <alignment horizontal="center" vertical="center"/>
    </xf>
    <xf numFmtId="0" fontId="12" fillId="0" borderId="40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4" fillId="0" borderId="47" xfId="2" applyFont="1" applyFill="1" applyBorder="1" applyAlignment="1">
      <alignment horizontal="center" vertical="center" wrapText="1"/>
    </xf>
    <xf numFmtId="0" fontId="14" fillId="0" borderId="115" xfId="2" applyFont="1" applyFill="1" applyBorder="1" applyAlignment="1">
      <alignment horizontal="center" vertical="center" wrapText="1"/>
    </xf>
    <xf numFmtId="0" fontId="14" fillId="0" borderId="63" xfId="2" applyFont="1" applyFill="1" applyBorder="1" applyAlignment="1">
      <alignment horizontal="center" vertical="center" wrapText="1"/>
    </xf>
    <xf numFmtId="0" fontId="13" fillId="0" borderId="64" xfId="2" applyFont="1" applyFill="1" applyBorder="1" applyAlignment="1">
      <alignment horizontal="center" vertical="center" wrapText="1"/>
    </xf>
    <xf numFmtId="0" fontId="13" fillId="0" borderId="116" xfId="2" applyFont="1" applyFill="1" applyBorder="1" applyAlignment="1">
      <alignment horizontal="center" vertical="center" wrapText="1"/>
    </xf>
    <xf numFmtId="0" fontId="13" fillId="0" borderId="65" xfId="2" applyFont="1" applyFill="1" applyBorder="1" applyAlignment="1">
      <alignment horizontal="center" vertical="center" wrapText="1"/>
    </xf>
    <xf numFmtId="4" fontId="15" fillId="0" borderId="53" xfId="2" applyNumberFormat="1" applyFont="1" applyFill="1" applyBorder="1" applyAlignment="1">
      <alignment horizontal="left" vertical="center"/>
    </xf>
    <xf numFmtId="10" fontId="42" fillId="0" borderId="53" xfId="2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10" fontId="42" fillId="0" borderId="20" xfId="2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0" fontId="15" fillId="0" borderId="51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horizontal="center" vertical="center" wrapText="1"/>
    </xf>
    <xf numFmtId="0" fontId="15" fillId="0" borderId="54" xfId="2" applyFont="1" applyFill="1" applyBorder="1" applyAlignment="1">
      <alignment horizontal="center" vertical="center" wrapText="1"/>
    </xf>
    <xf numFmtId="0" fontId="24" fillId="0" borderId="111" xfId="2" applyFont="1" applyBorder="1" applyAlignment="1">
      <alignment horizontal="center" vertical="center"/>
    </xf>
    <xf numFmtId="0" fontId="24" fillId="0" borderId="92" xfId="2" applyFont="1" applyBorder="1" applyAlignment="1">
      <alignment horizontal="center" vertical="center"/>
    </xf>
    <xf numFmtId="0" fontId="24" fillId="0" borderId="112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14" fillId="0" borderId="51" xfId="2" applyFont="1" applyFill="1" applyBorder="1" applyAlignment="1">
      <alignment horizontal="center" vertical="center"/>
    </xf>
    <xf numFmtId="4" fontId="33" fillId="0" borderId="64" xfId="2" applyNumberFormat="1" applyFont="1" applyFill="1" applyBorder="1" applyAlignment="1">
      <alignment horizontal="right" vertical="center"/>
    </xf>
    <xf numFmtId="4" fontId="33" fillId="0" borderId="116" xfId="2" applyNumberFormat="1" applyFont="1" applyFill="1" applyBorder="1" applyAlignment="1">
      <alignment horizontal="right" vertical="center"/>
    </xf>
    <xf numFmtId="4" fontId="33" fillId="0" borderId="49" xfId="2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21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center" vertical="center" wrapText="1"/>
    </xf>
    <xf numFmtId="0" fontId="13" fillId="0" borderId="8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vertical="top" wrapText="1"/>
    </xf>
    <xf numFmtId="0" fontId="14" fillId="0" borderId="23" xfId="2" applyFont="1" applyFill="1" applyBorder="1" applyAlignment="1">
      <alignment horizontal="center" vertical="center"/>
    </xf>
    <xf numFmtId="0" fontId="12" fillId="0" borderId="84" xfId="2" applyFont="1" applyFill="1" applyBorder="1" applyAlignment="1">
      <alignment horizontal="center" vertical="center"/>
    </xf>
    <xf numFmtId="0" fontId="12" fillId="0" borderId="85" xfId="2" applyFont="1" applyFill="1" applyBorder="1" applyAlignment="1">
      <alignment horizontal="center" vertical="center"/>
    </xf>
    <xf numFmtId="0" fontId="12" fillId="0" borderId="117" xfId="2" applyFont="1" applyFill="1" applyBorder="1" applyAlignment="1">
      <alignment horizontal="center" vertical="center"/>
    </xf>
    <xf numFmtId="0" fontId="12" fillId="0" borderId="86" xfId="2" applyFont="1" applyFill="1" applyBorder="1" applyAlignment="1">
      <alignment horizontal="center" vertical="center"/>
    </xf>
    <xf numFmtId="0" fontId="13" fillId="0" borderId="27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4" fillId="0" borderId="54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55" xfId="2" applyFont="1" applyFill="1" applyBorder="1" applyAlignment="1">
      <alignment horizontal="center" vertical="center"/>
    </xf>
    <xf numFmtId="0" fontId="14" fillId="0" borderId="57" xfId="2" applyFont="1" applyFill="1" applyBorder="1" applyAlignment="1">
      <alignment horizontal="center" vertical="center"/>
    </xf>
    <xf numFmtId="0" fontId="14" fillId="0" borderId="56" xfId="2" applyFont="1" applyFill="1" applyBorder="1" applyAlignment="1">
      <alignment horizontal="center" vertical="center"/>
    </xf>
    <xf numFmtId="0" fontId="12" fillId="0" borderId="119" xfId="2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2" fillId="0" borderId="118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50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33" fillId="0" borderId="52" xfId="0" applyFont="1" applyFill="1" applyBorder="1" applyAlignment="1">
      <alignment horizontal="left" vertical="center" wrapText="1"/>
    </xf>
    <xf numFmtId="0" fontId="33" fillId="0" borderId="5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11" fillId="0" borderId="121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111" xfId="0" applyFont="1" applyFill="1" applyBorder="1" applyAlignment="1">
      <alignment horizontal="center" vertical="center"/>
    </xf>
    <xf numFmtId="0" fontId="11" fillId="0" borderId="92" xfId="0" applyFont="1" applyFill="1" applyBorder="1" applyAlignment="1">
      <alignment horizontal="center" vertical="center"/>
    </xf>
    <xf numFmtId="0" fontId="11" fillId="0" borderId="1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10" fontId="13" fillId="0" borderId="51" xfId="2" applyNumberFormat="1" applyFont="1" applyFill="1" applyBorder="1" applyAlignment="1">
      <alignment horizontal="center" vertical="center" wrapText="1"/>
    </xf>
    <xf numFmtId="10" fontId="13" fillId="0" borderId="54" xfId="2" applyNumberFormat="1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41" fillId="3" borderId="78" xfId="1" applyFont="1" applyFill="1" applyBorder="1" applyAlignment="1">
      <alignment horizontal="center" vertical="center"/>
    </xf>
    <xf numFmtId="0" fontId="41" fillId="3" borderId="35" xfId="1" applyFont="1" applyFill="1" applyBorder="1" applyAlignment="1">
      <alignment horizontal="center" vertical="center"/>
    </xf>
    <xf numFmtId="0" fontId="41" fillId="3" borderId="77" xfId="1" applyFont="1" applyFill="1" applyBorder="1" applyAlignment="1">
      <alignment horizontal="center" vertical="center"/>
    </xf>
    <xf numFmtId="0" fontId="41" fillId="3" borderId="33" xfId="1" applyFont="1" applyFill="1" applyBorder="1" applyAlignment="1">
      <alignment horizontal="center" vertical="center"/>
    </xf>
    <xf numFmtId="0" fontId="41" fillId="3" borderId="82" xfId="1" applyFont="1" applyFill="1" applyBorder="1" applyAlignment="1">
      <alignment horizontal="center" vertical="center"/>
    </xf>
    <xf numFmtId="0" fontId="41" fillId="3" borderId="83" xfId="1" applyFont="1" applyFill="1" applyBorder="1" applyAlignment="1">
      <alignment horizontal="center" vertical="center"/>
    </xf>
    <xf numFmtId="0" fontId="41" fillId="3" borderId="18" xfId="1" applyFont="1" applyFill="1" applyBorder="1" applyAlignment="1">
      <alignment horizontal="left" vertical="center"/>
    </xf>
    <xf numFmtId="0" fontId="41" fillId="3" borderId="6" xfId="1" applyFont="1" applyFill="1" applyBorder="1" applyAlignment="1">
      <alignment horizontal="left" vertical="center"/>
    </xf>
    <xf numFmtId="0" fontId="41" fillId="3" borderId="17" xfId="1" applyFont="1" applyFill="1" applyBorder="1" applyAlignment="1">
      <alignment horizontal="left" vertical="center"/>
    </xf>
    <xf numFmtId="0" fontId="41" fillId="3" borderId="78" xfId="1" applyFont="1" applyFill="1" applyBorder="1" applyAlignment="1">
      <alignment horizontal="left" vertical="center"/>
    </xf>
    <xf numFmtId="0" fontId="41" fillId="3" borderId="35" xfId="1" applyFont="1" applyFill="1" applyBorder="1" applyAlignment="1">
      <alignment horizontal="left" vertical="center"/>
    </xf>
    <xf numFmtId="0" fontId="41" fillId="3" borderId="77" xfId="1" applyFont="1" applyFill="1" applyBorder="1" applyAlignment="1">
      <alignment horizontal="left" vertical="center"/>
    </xf>
    <xf numFmtId="0" fontId="42" fillId="3" borderId="1" xfId="1" applyFont="1" applyFill="1" applyBorder="1" applyAlignment="1">
      <alignment horizontal="center" vertical="center"/>
    </xf>
    <xf numFmtId="0" fontId="42" fillId="3" borderId="0" xfId="1" applyFont="1" applyFill="1" applyBorder="1" applyAlignment="1">
      <alignment horizontal="center" vertical="center"/>
    </xf>
    <xf numFmtId="0" fontId="42" fillId="3" borderId="2" xfId="1" applyFont="1" applyFill="1" applyBorder="1" applyAlignment="1">
      <alignment horizontal="center" vertical="center"/>
    </xf>
    <xf numFmtId="0" fontId="42" fillId="3" borderId="18" xfId="1" applyFont="1" applyFill="1" applyBorder="1" applyAlignment="1">
      <alignment horizontal="left" vertical="center" wrapText="1" shrinkToFit="1"/>
    </xf>
    <xf numFmtId="0" fontId="42" fillId="3" borderId="6" xfId="1" applyFont="1" applyFill="1" applyBorder="1" applyAlignment="1">
      <alignment horizontal="left" vertical="center" wrapText="1" shrinkToFit="1"/>
    </xf>
    <xf numFmtId="0" fontId="42" fillId="3" borderId="17" xfId="1" applyFont="1" applyFill="1" applyBorder="1" applyAlignment="1">
      <alignment horizontal="left" vertical="center" wrapText="1" shrinkToFit="1"/>
    </xf>
    <xf numFmtId="0" fontId="42" fillId="3" borderId="18" xfId="1" applyFont="1" applyFill="1" applyBorder="1" applyAlignment="1">
      <alignment horizontal="left" vertical="center"/>
    </xf>
    <xf numFmtId="0" fontId="42" fillId="3" borderId="6" xfId="1" applyFont="1" applyFill="1" applyBorder="1" applyAlignment="1">
      <alignment horizontal="left" vertical="center"/>
    </xf>
    <xf numFmtId="0" fontId="42" fillId="3" borderId="17" xfId="1" applyFont="1" applyFill="1" applyBorder="1" applyAlignment="1">
      <alignment horizontal="left" vertical="center"/>
    </xf>
    <xf numFmtId="0" fontId="28" fillId="0" borderId="28" xfId="1" applyFont="1" applyBorder="1" applyAlignment="1">
      <alignment horizontal="left" vertical="center"/>
    </xf>
    <xf numFmtId="0" fontId="28" fillId="0" borderId="29" xfId="1" applyFont="1" applyBorder="1" applyAlignment="1">
      <alignment horizontal="left" vertical="center"/>
    </xf>
    <xf numFmtId="0" fontId="28" fillId="0" borderId="30" xfId="1" applyFont="1" applyBorder="1" applyAlignment="1">
      <alignment horizontal="left" vertical="center"/>
    </xf>
    <xf numFmtId="0" fontId="28" fillId="0" borderId="12" xfId="1" applyFont="1" applyBorder="1" applyAlignment="1">
      <alignment horizontal="left" vertical="center"/>
    </xf>
    <xf numFmtId="0" fontId="28" fillId="0" borderId="11" xfId="1" applyFont="1" applyBorder="1" applyAlignment="1">
      <alignment horizontal="left" vertical="center"/>
    </xf>
    <xf numFmtId="0" fontId="28" fillId="0" borderId="24" xfId="1" applyFont="1" applyBorder="1" applyAlignment="1">
      <alignment horizontal="left" vertical="center"/>
    </xf>
    <xf numFmtId="0" fontId="28" fillId="0" borderId="89" xfId="1" applyFont="1" applyBorder="1" applyAlignment="1">
      <alignment horizontal="left" vertical="center"/>
    </xf>
    <xf numFmtId="0" fontId="28" fillId="0" borderId="90" xfId="1" applyFont="1" applyBorder="1" applyAlignment="1">
      <alignment horizontal="left" vertical="center"/>
    </xf>
    <xf numFmtId="0" fontId="41" fillId="3" borderId="15" xfId="1" applyFont="1" applyFill="1" applyBorder="1" applyAlignment="1">
      <alignment horizontal="center" vertical="center"/>
    </xf>
    <xf numFmtId="0" fontId="41" fillId="3" borderId="36" xfId="1" applyFont="1" applyFill="1" applyBorder="1" applyAlignment="1">
      <alignment horizontal="center" vertical="center"/>
    </xf>
    <xf numFmtId="0" fontId="41" fillId="3" borderId="16" xfId="1" applyFont="1" applyFill="1" applyBorder="1" applyAlignment="1">
      <alignment horizontal="center" vertical="center"/>
    </xf>
    <xf numFmtId="0" fontId="12" fillId="0" borderId="28" xfId="2" applyFont="1" applyBorder="1" applyAlignment="1">
      <alignment horizontal="center"/>
    </xf>
    <xf numFmtId="0" fontId="12" fillId="0" borderId="29" xfId="2" applyFont="1" applyBorder="1" applyAlignment="1">
      <alignment horizontal="center"/>
    </xf>
    <xf numFmtId="0" fontId="12" fillId="0" borderId="30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0" fontId="12" fillId="0" borderId="2" xfId="2" applyFont="1" applyFill="1" applyBorder="1" applyAlignment="1">
      <alignment horizontal="left"/>
    </xf>
    <xf numFmtId="0" fontId="24" fillId="0" borderId="20" xfId="2" applyFont="1" applyFill="1" applyBorder="1" applyAlignment="1">
      <alignment horizontal="center" vertical="center" wrapText="1"/>
    </xf>
    <xf numFmtId="0" fontId="24" fillId="0" borderId="51" xfId="2" applyFont="1" applyFill="1" applyBorder="1" applyAlignment="1">
      <alignment horizontal="center" vertical="center" wrapText="1"/>
    </xf>
    <xf numFmtId="0" fontId="24" fillId="0" borderId="53" xfId="2" applyFont="1" applyFill="1" applyBorder="1" applyAlignment="1">
      <alignment horizontal="center" vertical="center" wrapText="1"/>
    </xf>
    <xf numFmtId="0" fontId="24" fillId="0" borderId="54" xfId="2" applyFont="1" applyFill="1" applyBorder="1" applyAlignment="1">
      <alignment horizontal="center" vertical="center" wrapText="1"/>
    </xf>
    <xf numFmtId="10" fontId="35" fillId="0" borderId="53" xfId="2" applyNumberFormat="1" applyFont="1" applyFill="1" applyBorder="1" applyAlignment="1">
      <alignment horizontal="center" vertical="center"/>
    </xf>
    <xf numFmtId="0" fontId="12" fillId="0" borderId="12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0" fontId="14" fillId="0" borderId="64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" fontId="13" fillId="3" borderId="53" xfId="0" applyNumberFormat="1" applyFont="1" applyFill="1" applyBorder="1" applyAlignment="1">
      <alignment horizontal="left" vertical="center"/>
    </xf>
    <xf numFmtId="10" fontId="14" fillId="0" borderId="116" xfId="5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center" vertical="center" wrapText="1"/>
    </xf>
    <xf numFmtId="0" fontId="13" fillId="0" borderId="6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3" fillId="0" borderId="80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10" fontId="14" fillId="0" borderId="64" xfId="5" applyNumberFormat="1" applyFont="1" applyFill="1" applyBorder="1" applyAlignment="1">
      <alignment horizontal="right" vertical="center" wrapText="1"/>
    </xf>
    <xf numFmtId="10" fontId="14" fillId="0" borderId="116" xfId="5" applyNumberFormat="1" applyFont="1" applyFill="1" applyBorder="1" applyAlignment="1">
      <alignment horizontal="right" vertical="center" wrapText="1"/>
    </xf>
    <xf numFmtId="10" fontId="14" fillId="0" borderId="49" xfId="5" applyNumberFormat="1" applyFont="1" applyFill="1" applyBorder="1" applyAlignment="1">
      <alignment horizontal="right" vertical="center" wrapText="1"/>
    </xf>
    <xf numFmtId="0" fontId="11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1" fillId="0" borderId="114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82" fillId="0" borderId="55" xfId="0" applyFont="1" applyFill="1" applyBorder="1" applyAlignment="1">
      <alignment horizontal="center" vertical="center" wrapText="1"/>
    </xf>
    <xf numFmtId="0" fontId="82" fillId="0" borderId="56" xfId="0" applyFont="1" applyFill="1" applyBorder="1" applyAlignment="1">
      <alignment horizontal="center" vertical="center" wrapText="1"/>
    </xf>
    <xf numFmtId="0" fontId="82" fillId="0" borderId="50" xfId="0" applyFont="1" applyFill="1" applyBorder="1" applyAlignment="1">
      <alignment horizontal="center" vertical="center" wrapText="1"/>
    </xf>
    <xf numFmtId="0" fontId="82" fillId="0" borderId="20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10" fontId="14" fillId="0" borderId="26" xfId="5" applyNumberFormat="1" applyFont="1" applyFill="1" applyBorder="1" applyAlignment="1">
      <alignment horizontal="center" vertical="center" wrapText="1"/>
    </xf>
    <xf numFmtId="10" fontId="14" fillId="0" borderId="94" xfId="5" applyNumberFormat="1" applyFont="1" applyFill="1" applyBorder="1" applyAlignment="1">
      <alignment horizontal="center" vertical="center" wrapText="1"/>
    </xf>
    <xf numFmtId="10" fontId="14" fillId="0" borderId="125" xfId="5" applyNumberFormat="1" applyFont="1" applyFill="1" applyBorder="1" applyAlignment="1">
      <alignment horizontal="center" vertical="center" wrapText="1"/>
    </xf>
    <xf numFmtId="0" fontId="13" fillId="0" borderId="21" xfId="7" applyNumberFormat="1" applyFont="1" applyFill="1" applyBorder="1" applyAlignment="1">
      <alignment horizontal="center" vertical="center"/>
    </xf>
    <xf numFmtId="0" fontId="13" fillId="0" borderId="23" xfId="7" applyNumberFormat="1" applyFont="1" applyFill="1" applyBorder="1" applyAlignment="1">
      <alignment horizontal="center" vertical="center"/>
    </xf>
    <xf numFmtId="10" fontId="34" fillId="0" borderId="94" xfId="5" applyNumberFormat="1" applyFont="1" applyFill="1" applyBorder="1" applyAlignment="1">
      <alignment horizontal="right" vertical="center" wrapText="1"/>
    </xf>
    <xf numFmtId="10" fontId="34" fillId="0" borderId="125" xfId="5" applyNumberFormat="1" applyFont="1" applyFill="1" applyBorder="1" applyAlignment="1">
      <alignment horizontal="right" vertical="center" wrapText="1"/>
    </xf>
    <xf numFmtId="10" fontId="14" fillId="0" borderId="26" xfId="5" applyNumberFormat="1" applyFont="1" applyFill="1" applyBorder="1" applyAlignment="1">
      <alignment horizontal="right" vertical="center" wrapText="1"/>
    </xf>
    <xf numFmtId="10" fontId="14" fillId="0" borderId="94" xfId="5" applyNumberFormat="1" applyFont="1" applyFill="1" applyBorder="1" applyAlignment="1">
      <alignment horizontal="right" vertical="center" wrapText="1"/>
    </xf>
    <xf numFmtId="10" fontId="14" fillId="0" borderId="125" xfId="5" applyNumberFormat="1" applyFont="1" applyFill="1" applyBorder="1" applyAlignment="1">
      <alignment horizontal="right" vertical="center" wrapText="1"/>
    </xf>
    <xf numFmtId="9" fontId="33" fillId="0" borderId="20" xfId="5" applyFont="1" applyFill="1" applyBorder="1" applyAlignment="1">
      <alignment horizontal="center" vertical="center"/>
    </xf>
    <xf numFmtId="0" fontId="33" fillId="0" borderId="20" xfId="7" applyNumberFormat="1" applyFont="1" applyFill="1" applyBorder="1" applyAlignment="1">
      <alignment horizontal="center" vertical="center"/>
    </xf>
    <xf numFmtId="0" fontId="33" fillId="0" borderId="21" xfId="7" applyNumberFormat="1" applyFont="1" applyFill="1" applyBorder="1" applyAlignment="1">
      <alignment horizontal="center" vertical="center"/>
    </xf>
    <xf numFmtId="0" fontId="33" fillId="0" borderId="23" xfId="7" applyNumberFormat="1" applyFont="1" applyFill="1" applyBorder="1" applyAlignment="1">
      <alignment horizontal="center" vertical="center"/>
    </xf>
    <xf numFmtId="0" fontId="13" fillId="0" borderId="20" xfId="7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right" vertical="center"/>
    </xf>
    <xf numFmtId="49" fontId="9" fillId="0" borderId="55" xfId="0" applyNumberFormat="1" applyFont="1" applyFill="1" applyBorder="1" applyAlignment="1">
      <alignment horizontal="center" vertical="center"/>
    </xf>
    <xf numFmtId="49" fontId="9" fillId="0" borderId="50" xfId="0" applyNumberFormat="1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124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3" fillId="0" borderId="124" xfId="2" applyFont="1" applyFill="1" applyBorder="1" applyAlignment="1">
      <alignment horizontal="center" vertical="center" wrapText="1"/>
    </xf>
    <xf numFmtId="0" fontId="13" fillId="0" borderId="45" xfId="2" applyFont="1" applyFill="1" applyBorder="1" applyAlignment="1">
      <alignment horizontal="center" vertical="center" wrapText="1"/>
    </xf>
    <xf numFmtId="0" fontId="13" fillId="0" borderId="49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10" fontId="33" fillId="0" borderId="21" xfId="2" applyNumberFormat="1" applyFont="1" applyFill="1" applyBorder="1" applyAlignment="1">
      <alignment horizontal="center" vertical="center"/>
    </xf>
    <xf numFmtId="10" fontId="33" fillId="0" borderId="22" xfId="2" applyNumberFormat="1" applyFont="1" applyFill="1" applyBorder="1" applyAlignment="1">
      <alignment horizontal="center" vertical="center"/>
    </xf>
    <xf numFmtId="10" fontId="33" fillId="0" borderId="23" xfId="2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right" vertical="center"/>
    </xf>
    <xf numFmtId="0" fontId="5" fillId="2" borderId="41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0" fontId="5" fillId="2" borderId="38" xfId="0" applyFont="1" applyFill="1" applyBorder="1" applyAlignment="1">
      <alignment horizontal="right" vertical="center"/>
    </xf>
    <xf numFmtId="49" fontId="9" fillId="0" borderId="31" xfId="0" applyNumberFormat="1" applyFont="1" applyFill="1" applyBorder="1" applyAlignment="1">
      <alignment horizontal="center" vertical="center"/>
    </xf>
    <xf numFmtId="49" fontId="9" fillId="0" borderId="42" xfId="0" applyNumberFormat="1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13" fillId="0" borderId="53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4" fontId="13" fillId="0" borderId="81" xfId="2" applyNumberFormat="1" applyFont="1" applyFill="1" applyBorder="1" applyAlignment="1">
      <alignment horizontal="left" vertical="center"/>
    </xf>
    <xf numFmtId="4" fontId="13" fillId="0" borderId="68" xfId="2" applyNumberFormat="1" applyFont="1" applyFill="1" applyBorder="1" applyAlignment="1">
      <alignment horizontal="left" vertical="center"/>
    </xf>
    <xf numFmtId="4" fontId="13" fillId="0" borderId="113" xfId="2" applyNumberFormat="1" applyFont="1" applyFill="1" applyBorder="1" applyAlignment="1">
      <alignment horizontal="left" vertical="center"/>
    </xf>
    <xf numFmtId="4" fontId="13" fillId="0" borderId="53" xfId="0" applyNumberFormat="1" applyFont="1" applyFill="1" applyBorder="1" applyAlignment="1">
      <alignment horizontal="left" vertical="center"/>
    </xf>
    <xf numFmtId="0" fontId="33" fillId="0" borderId="50" xfId="0" applyFont="1" applyBorder="1" applyAlignment="1">
      <alignment horizontal="left"/>
    </xf>
    <xf numFmtId="0" fontId="33" fillId="0" borderId="20" xfId="0" applyFont="1" applyBorder="1" applyAlignment="1">
      <alignment horizontal="left"/>
    </xf>
    <xf numFmtId="0" fontId="34" fillId="0" borderId="55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52" xfId="0" applyFont="1" applyBorder="1" applyAlignment="1">
      <alignment horizontal="left"/>
    </xf>
    <xf numFmtId="0" fontId="34" fillId="0" borderId="53" xfId="0" applyFont="1" applyBorder="1" applyAlignment="1">
      <alignment horizontal="left"/>
    </xf>
    <xf numFmtId="0" fontId="14" fillId="0" borderId="5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12" fillId="3" borderId="88" xfId="2" applyFont="1" applyFill="1" applyBorder="1" applyAlignment="1">
      <alignment horizontal="center" vertical="center"/>
    </xf>
    <xf numFmtId="0" fontId="12" fillId="3" borderId="89" xfId="2" applyFont="1" applyFill="1" applyBorder="1" applyAlignment="1">
      <alignment horizontal="center" vertical="center"/>
    </xf>
    <xf numFmtId="0" fontId="12" fillId="3" borderId="90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left" vertical="center"/>
    </xf>
    <xf numFmtId="0" fontId="7" fillId="0" borderId="5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center"/>
    </xf>
    <xf numFmtId="0" fontId="28" fillId="34" borderId="89" xfId="1" applyFont="1" applyFill="1" applyBorder="1" applyAlignment="1">
      <alignment horizontal="left" vertical="center" wrapText="1"/>
    </xf>
    <xf numFmtId="49" fontId="24" fillId="0" borderId="22" xfId="0" applyNumberFormat="1" applyFont="1" applyFill="1" applyBorder="1" applyAlignment="1">
      <alignment horizontal="left" vertical="center"/>
    </xf>
    <xf numFmtId="49" fontId="24" fillId="0" borderId="59" xfId="0" applyNumberFormat="1" applyFont="1" applyFill="1" applyBorder="1" applyAlignment="1">
      <alignment horizontal="left" vertical="center"/>
    </xf>
    <xf numFmtId="0" fontId="24" fillId="0" borderId="20" xfId="97" applyFont="1" applyFill="1" applyBorder="1" applyAlignment="1">
      <alignment horizontal="center" vertical="center"/>
    </xf>
    <xf numFmtId="0" fontId="24" fillId="0" borderId="52" xfId="97" applyFont="1" applyFill="1" applyBorder="1" applyAlignment="1">
      <alignment horizontal="center" vertical="center"/>
    </xf>
    <xf numFmtId="0" fontId="24" fillId="0" borderId="53" xfId="97" applyFont="1" applyFill="1" applyBorder="1" applyAlignment="1">
      <alignment horizontal="center" vertical="center"/>
    </xf>
    <xf numFmtId="0" fontId="24" fillId="0" borderId="20" xfId="97" applyFont="1" applyFill="1" applyBorder="1" applyAlignment="1">
      <alignment horizontal="left" vertical="center"/>
    </xf>
    <xf numFmtId="0" fontId="24" fillId="0" borderId="51" xfId="97" applyFont="1" applyFill="1" applyBorder="1" applyAlignment="1">
      <alignment horizontal="left" vertical="center"/>
    </xf>
    <xf numFmtId="0" fontId="24" fillId="0" borderId="53" xfId="0" applyFont="1" applyBorder="1" applyAlignment="1">
      <alignment horizontal="right"/>
    </xf>
    <xf numFmtId="0" fontId="14" fillId="8" borderId="56" xfId="0" applyFont="1" applyFill="1" applyBorder="1" applyAlignment="1">
      <alignment horizontal="center" vertical="center"/>
    </xf>
    <xf numFmtId="0" fontId="14" fillId="8" borderId="57" xfId="0" applyFont="1" applyFill="1" applyBorder="1" applyAlignment="1">
      <alignment horizontal="center" vertical="center"/>
    </xf>
    <xf numFmtId="0" fontId="24" fillId="0" borderId="91" xfId="97" applyFont="1" applyFill="1" applyBorder="1" applyAlignment="1">
      <alignment horizontal="left" vertical="center"/>
    </xf>
    <xf numFmtId="0" fontId="24" fillId="0" borderId="64" xfId="97" applyFont="1" applyFill="1" applyBorder="1" applyAlignment="1">
      <alignment horizontal="left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2" fillId="0" borderId="59" xfId="2" applyFont="1" applyBorder="1" applyAlignment="1">
      <alignment horizontal="center" vertical="center" wrapText="1"/>
    </xf>
    <xf numFmtId="0" fontId="28" fillId="0" borderId="55" xfId="1" applyFont="1" applyBorder="1" applyAlignment="1">
      <alignment horizontal="left" vertical="center"/>
    </xf>
    <xf numFmtId="0" fontId="28" fillId="0" borderId="56" xfId="1" applyFont="1" applyBorder="1" applyAlignment="1">
      <alignment horizontal="left" vertical="center"/>
    </xf>
    <xf numFmtId="0" fontId="28" fillId="0" borderId="57" xfId="1" applyFont="1" applyBorder="1" applyAlignment="1">
      <alignment horizontal="left" vertical="center"/>
    </xf>
    <xf numFmtId="0" fontId="28" fillId="34" borderId="128" xfId="1" applyFont="1" applyFill="1" applyBorder="1" applyAlignment="1">
      <alignment horizontal="left" vertical="top" wrapText="1"/>
    </xf>
    <xf numFmtId="0" fontId="28" fillId="34" borderId="29" xfId="1" applyFont="1" applyFill="1" applyBorder="1" applyAlignment="1">
      <alignment horizontal="left" vertical="top" wrapText="1"/>
    </xf>
    <xf numFmtId="0" fontId="28" fillId="34" borderId="129" xfId="1" applyFont="1" applyFill="1" applyBorder="1" applyAlignment="1">
      <alignment horizontal="left" vertical="top" wrapText="1"/>
    </xf>
    <xf numFmtId="0" fontId="28" fillId="34" borderId="46" xfId="1" applyFont="1" applyFill="1" applyBorder="1" applyAlignment="1">
      <alignment horizontal="left" vertical="center" wrapText="1"/>
    </xf>
    <xf numFmtId="0" fontId="12" fillId="0" borderId="50" xfId="2" applyFont="1" applyBorder="1" applyAlignment="1">
      <alignment horizontal="center" vertical="center" wrapText="1"/>
    </xf>
    <xf numFmtId="0" fontId="41" fillId="3" borderId="53" xfId="1" applyFont="1" applyFill="1" applyBorder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4" xfId="2" applyFont="1" applyFill="1" applyBorder="1" applyAlignment="1">
      <alignment horizontal="center" vertical="center"/>
    </xf>
    <xf numFmtId="0" fontId="13" fillId="0" borderId="51" xfId="2" applyFont="1" applyFill="1" applyBorder="1" applyAlignment="1">
      <alignment horizontal="center" vertical="center"/>
    </xf>
    <xf numFmtId="49" fontId="13" fillId="0" borderId="20" xfId="2" applyNumberFormat="1" applyFont="1" applyFill="1" applyBorder="1" applyAlignment="1">
      <alignment horizontal="center" vertical="center"/>
    </xf>
    <xf numFmtId="49" fontId="13" fillId="0" borderId="53" xfId="2" applyNumberFormat="1" applyFont="1" applyFill="1" applyBorder="1" applyAlignment="1">
      <alignment horizontal="center" vertical="center"/>
    </xf>
    <xf numFmtId="0" fontId="28" fillId="0" borderId="47" xfId="1" applyFont="1" applyBorder="1" applyAlignment="1">
      <alignment horizontal="left" vertical="center"/>
    </xf>
    <xf numFmtId="0" fontId="28" fillId="0" borderId="62" xfId="1" applyFont="1" applyBorder="1" applyAlignment="1">
      <alignment horizontal="left" vertical="center"/>
    </xf>
    <xf numFmtId="0" fontId="28" fillId="0" borderId="63" xfId="1" applyFont="1" applyBorder="1" applyAlignment="1">
      <alignment horizontal="left" vertical="center"/>
    </xf>
    <xf numFmtId="0" fontId="33" fillId="3" borderId="1" xfId="1" applyFont="1" applyFill="1" applyBorder="1" applyAlignment="1">
      <alignment horizontal="center" vertical="center" wrapText="1"/>
    </xf>
    <xf numFmtId="0" fontId="33" fillId="3" borderId="0" xfId="1" applyFont="1" applyFill="1" applyBorder="1" applyAlignment="1">
      <alignment horizontal="center" vertical="center" wrapText="1"/>
    </xf>
    <xf numFmtId="0" fontId="56" fillId="0" borderId="47" xfId="1" applyFont="1" applyBorder="1" applyAlignment="1">
      <alignment horizontal="center" vertical="center"/>
    </xf>
    <xf numFmtId="0" fontId="56" fillId="0" borderId="62" xfId="1" applyFont="1" applyBorder="1" applyAlignment="1">
      <alignment horizontal="center" vertical="center"/>
    </xf>
    <xf numFmtId="0" fontId="56" fillId="0" borderId="115" xfId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0" fontId="50" fillId="0" borderId="20" xfId="7" applyNumberFormat="1" applyFont="1" applyFill="1" applyBorder="1" applyAlignment="1">
      <alignment horizontal="center"/>
    </xf>
    <xf numFmtId="40" fontId="48" fillId="0" borderId="20" xfId="7" applyNumberFormat="1" applyFont="1" applyFill="1" applyBorder="1" applyAlignment="1">
      <alignment horizontal="center"/>
    </xf>
    <xf numFmtId="40" fontId="32" fillId="0" borderId="64" xfId="0" applyNumberFormat="1" applyFont="1" applyFill="1" applyBorder="1" applyAlignment="1">
      <alignment horizontal="center" vertical="center"/>
    </xf>
    <xf numFmtId="40" fontId="32" fillId="0" borderId="65" xfId="0" applyNumberFormat="1" applyFont="1" applyFill="1" applyBorder="1" applyAlignment="1">
      <alignment horizontal="center" vertical="center"/>
    </xf>
    <xf numFmtId="40" fontId="50" fillId="0" borderId="64" xfId="7" applyNumberFormat="1" applyFont="1" applyFill="1" applyBorder="1" applyAlignment="1">
      <alignment horizontal="center" vertical="center"/>
    </xf>
    <xf numFmtId="40" fontId="50" fillId="0" borderId="49" xfId="7" applyNumberFormat="1" applyFont="1" applyFill="1" applyBorder="1" applyAlignment="1">
      <alignment horizontal="center" vertical="center"/>
    </xf>
    <xf numFmtId="175" fontId="32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1" fontId="50" fillId="0" borderId="50" xfId="0" applyNumberFormat="1" applyFont="1" applyBorder="1" applyAlignment="1">
      <alignment horizontal="left"/>
    </xf>
    <xf numFmtId="1" fontId="50" fillId="0" borderId="20" xfId="0" applyNumberFormat="1" applyFont="1" applyBorder="1" applyAlignment="1">
      <alignment horizontal="left"/>
    </xf>
    <xf numFmtId="40" fontId="50" fillId="0" borderId="20" xfId="7" applyNumberFormat="1" applyFont="1" applyBorder="1" applyAlignment="1">
      <alignment horizontal="right"/>
    </xf>
    <xf numFmtId="40" fontId="48" fillId="0" borderId="20" xfId="7" applyNumberFormat="1" applyFont="1" applyBorder="1" applyAlignment="1">
      <alignment horizontal="right" vertical="center"/>
    </xf>
    <xf numFmtId="1" fontId="50" fillId="0" borderId="58" xfId="0" applyNumberFormat="1" applyFont="1" applyBorder="1" applyAlignment="1">
      <alignment horizontal="left"/>
    </xf>
    <xf numFmtId="1" fontId="48" fillId="0" borderId="55" xfId="0" applyNumberFormat="1" applyFont="1" applyFill="1" applyBorder="1" applyAlignment="1">
      <alignment horizontal="center"/>
    </xf>
    <xf numFmtId="1" fontId="48" fillId="0" borderId="52" xfId="0" applyNumberFormat="1" applyFont="1" applyFill="1" applyBorder="1" applyAlignment="1">
      <alignment horizontal="center"/>
    </xf>
    <xf numFmtId="1" fontId="48" fillId="0" borderId="46" xfId="0" applyNumberFormat="1" applyFont="1" applyFill="1" applyBorder="1" applyAlignment="1">
      <alignment horizontal="left" vertical="center"/>
    </xf>
    <xf numFmtId="1" fontId="48" fillId="0" borderId="61" xfId="0" applyNumberFormat="1" applyFont="1" applyFill="1" applyBorder="1" applyAlignment="1">
      <alignment horizontal="left" vertical="center"/>
    </xf>
    <xf numFmtId="40" fontId="48" fillId="0" borderId="46" xfId="7" applyNumberFormat="1" applyFont="1" applyFill="1" applyBorder="1" applyAlignment="1">
      <alignment horizontal="center" vertical="center"/>
    </xf>
    <xf numFmtId="40" fontId="48" fillId="0" borderId="61" xfId="7" applyNumberFormat="1" applyFont="1" applyFill="1" applyBorder="1" applyAlignment="1">
      <alignment horizontal="center" vertical="center"/>
    </xf>
    <xf numFmtId="167" fontId="48" fillId="0" borderId="53" xfId="7" quotePrefix="1" applyNumberFormat="1" applyFont="1" applyFill="1" applyBorder="1" applyAlignment="1">
      <alignment vertical="center"/>
    </xf>
    <xf numFmtId="167" fontId="48" fillId="0" borderId="53" xfId="7" quotePrefix="1" applyNumberFormat="1" applyFont="1" applyFill="1" applyBorder="1" applyAlignment="1">
      <alignment horizontal="center"/>
    </xf>
    <xf numFmtId="40" fontId="49" fillId="0" borderId="47" xfId="7" applyNumberFormat="1" applyFont="1" applyFill="1" applyBorder="1" applyAlignment="1">
      <alignment horizontal="center"/>
    </xf>
    <xf numFmtId="40" fontId="49" fillId="0" borderId="62" xfId="7" applyNumberFormat="1" applyFont="1" applyFill="1" applyBorder="1" applyAlignment="1">
      <alignment horizontal="center"/>
    </xf>
  </cellXfs>
  <cellStyles count="101">
    <cellStyle name="20% - Accent1" xfId="14" xr:uid="{00000000-0005-0000-0000-000000000000}"/>
    <cellStyle name="20% - Accent2" xfId="15" xr:uid="{00000000-0005-0000-0000-000001000000}"/>
    <cellStyle name="20% - Accent3" xfId="16" xr:uid="{00000000-0005-0000-0000-000002000000}"/>
    <cellStyle name="20% - Accent4" xfId="17" xr:uid="{00000000-0005-0000-0000-000003000000}"/>
    <cellStyle name="20% - Accent5" xfId="18" xr:uid="{00000000-0005-0000-0000-000004000000}"/>
    <cellStyle name="20% - Accent6" xfId="19" xr:uid="{00000000-0005-0000-0000-000005000000}"/>
    <cellStyle name="20% - Ênfase1 2" xfId="20" xr:uid="{00000000-0005-0000-0000-000006000000}"/>
    <cellStyle name="20% - Ênfase2 2" xfId="21" xr:uid="{00000000-0005-0000-0000-000007000000}"/>
    <cellStyle name="20% - Ênfase3 2" xfId="22" xr:uid="{00000000-0005-0000-0000-000008000000}"/>
    <cellStyle name="20% - Ênfase4 2" xfId="23" xr:uid="{00000000-0005-0000-0000-000009000000}"/>
    <cellStyle name="20% - Ênfase5 2" xfId="24" xr:uid="{00000000-0005-0000-0000-00000A000000}"/>
    <cellStyle name="20% - Ênfase6 2" xfId="25" xr:uid="{00000000-0005-0000-0000-00000B000000}"/>
    <cellStyle name="40% - Accent1" xfId="26" xr:uid="{00000000-0005-0000-0000-00000C000000}"/>
    <cellStyle name="40% - Accent2" xfId="27" xr:uid="{00000000-0005-0000-0000-00000D000000}"/>
    <cellStyle name="40% - Accent3" xfId="28" xr:uid="{00000000-0005-0000-0000-00000E000000}"/>
    <cellStyle name="40% - Accent4" xfId="29" xr:uid="{00000000-0005-0000-0000-00000F000000}"/>
    <cellStyle name="40% - Accent5" xfId="30" xr:uid="{00000000-0005-0000-0000-000010000000}"/>
    <cellStyle name="40% - Accent6" xfId="31" xr:uid="{00000000-0005-0000-0000-000011000000}"/>
    <cellStyle name="40% - Ênfase1 2" xfId="32" xr:uid="{00000000-0005-0000-0000-000012000000}"/>
    <cellStyle name="40% - Ênfase2 2" xfId="33" xr:uid="{00000000-0005-0000-0000-000013000000}"/>
    <cellStyle name="40% - Ênfase3 2" xfId="34" xr:uid="{00000000-0005-0000-0000-000014000000}"/>
    <cellStyle name="40% - Ênfase4 2" xfId="35" xr:uid="{00000000-0005-0000-0000-000015000000}"/>
    <cellStyle name="40% - Ênfase5 2" xfId="36" xr:uid="{00000000-0005-0000-0000-000016000000}"/>
    <cellStyle name="40% - Ênfase6 2" xfId="37" xr:uid="{00000000-0005-0000-0000-000017000000}"/>
    <cellStyle name="60% - Accent1" xfId="38" xr:uid="{00000000-0005-0000-0000-000018000000}"/>
    <cellStyle name="60% - Accent2" xfId="39" xr:uid="{00000000-0005-0000-0000-000019000000}"/>
    <cellStyle name="60% - Accent3" xfId="40" xr:uid="{00000000-0005-0000-0000-00001A000000}"/>
    <cellStyle name="60% - Accent4" xfId="41" xr:uid="{00000000-0005-0000-0000-00001B000000}"/>
    <cellStyle name="60% - Accent5" xfId="42" xr:uid="{00000000-0005-0000-0000-00001C000000}"/>
    <cellStyle name="60% - Accent6" xfId="43" xr:uid="{00000000-0005-0000-0000-00001D000000}"/>
    <cellStyle name="60% - Ênfase1 2" xfId="44" xr:uid="{00000000-0005-0000-0000-00001E000000}"/>
    <cellStyle name="60% - Ênfase2 2" xfId="45" xr:uid="{00000000-0005-0000-0000-00001F000000}"/>
    <cellStyle name="60% - Ênfase3 2" xfId="46" xr:uid="{00000000-0005-0000-0000-000020000000}"/>
    <cellStyle name="60% - Ênfase4 2" xfId="47" xr:uid="{00000000-0005-0000-0000-000021000000}"/>
    <cellStyle name="60% - Ênfase5 2" xfId="48" xr:uid="{00000000-0005-0000-0000-000022000000}"/>
    <cellStyle name="60% - Ênfase6 2" xfId="49" xr:uid="{00000000-0005-0000-0000-000023000000}"/>
    <cellStyle name="Accent1" xfId="50" xr:uid="{00000000-0005-0000-0000-000024000000}"/>
    <cellStyle name="Accent2" xfId="51" xr:uid="{00000000-0005-0000-0000-000025000000}"/>
    <cellStyle name="Accent3" xfId="52" xr:uid="{00000000-0005-0000-0000-000026000000}"/>
    <cellStyle name="Accent4" xfId="53" xr:uid="{00000000-0005-0000-0000-000027000000}"/>
    <cellStyle name="Accent5" xfId="54" xr:uid="{00000000-0005-0000-0000-000028000000}"/>
    <cellStyle name="Accent6" xfId="55" xr:uid="{00000000-0005-0000-0000-000029000000}"/>
    <cellStyle name="Bad" xfId="56" xr:uid="{00000000-0005-0000-0000-00002A000000}"/>
    <cellStyle name="Bom 2" xfId="57" xr:uid="{00000000-0005-0000-0000-00002B000000}"/>
    <cellStyle name="Calculation" xfId="58" xr:uid="{00000000-0005-0000-0000-00002C000000}"/>
    <cellStyle name="Cálculo 2" xfId="59" xr:uid="{00000000-0005-0000-0000-00002D000000}"/>
    <cellStyle name="Célula de Verificação 2" xfId="60" xr:uid="{00000000-0005-0000-0000-00002E000000}"/>
    <cellStyle name="Célula Vinculada 2" xfId="61" xr:uid="{00000000-0005-0000-0000-00002F000000}"/>
    <cellStyle name="Check Cell" xfId="62" xr:uid="{00000000-0005-0000-0000-000030000000}"/>
    <cellStyle name="Ênfase1 2" xfId="63" xr:uid="{00000000-0005-0000-0000-000031000000}"/>
    <cellStyle name="Ênfase2 2" xfId="64" xr:uid="{00000000-0005-0000-0000-000032000000}"/>
    <cellStyle name="Ênfase3 2" xfId="65" xr:uid="{00000000-0005-0000-0000-000033000000}"/>
    <cellStyle name="Ênfase4 2" xfId="66" xr:uid="{00000000-0005-0000-0000-000034000000}"/>
    <cellStyle name="Ênfase5 2" xfId="67" xr:uid="{00000000-0005-0000-0000-000035000000}"/>
    <cellStyle name="Ênfase6 2" xfId="68" xr:uid="{00000000-0005-0000-0000-000036000000}"/>
    <cellStyle name="Entrada 2" xfId="69" xr:uid="{00000000-0005-0000-0000-000037000000}"/>
    <cellStyle name="Excel Built-in Normal" xfId="1" xr:uid="{00000000-0005-0000-0000-000038000000}"/>
    <cellStyle name="Explanatory Text" xfId="70" xr:uid="{00000000-0005-0000-0000-000039000000}"/>
    <cellStyle name="Good" xfId="71" xr:uid="{00000000-0005-0000-0000-00003A000000}"/>
    <cellStyle name="Heading 1" xfId="72" xr:uid="{00000000-0005-0000-0000-00003B000000}"/>
    <cellStyle name="Heading 2" xfId="73" xr:uid="{00000000-0005-0000-0000-00003C000000}"/>
    <cellStyle name="Heading 3" xfId="74" xr:uid="{00000000-0005-0000-0000-00003D000000}"/>
    <cellStyle name="Heading 4" xfId="75" xr:uid="{00000000-0005-0000-0000-00003E000000}"/>
    <cellStyle name="Incorreto 2" xfId="76" xr:uid="{00000000-0005-0000-0000-00003F000000}"/>
    <cellStyle name="Input" xfId="77" xr:uid="{00000000-0005-0000-0000-000040000000}"/>
    <cellStyle name="Linked Cell" xfId="78" xr:uid="{00000000-0005-0000-0000-000041000000}"/>
    <cellStyle name="Moeda 2" xfId="99" xr:uid="{00000000-0005-0000-0000-000042000000}"/>
    <cellStyle name="Moeda 3" xfId="13" xr:uid="{00000000-0005-0000-0000-000043000000}"/>
    <cellStyle name="Neutra 2" xfId="79" xr:uid="{00000000-0005-0000-0000-000044000000}"/>
    <cellStyle name="Neutral" xfId="80" xr:uid="{00000000-0005-0000-0000-000045000000}"/>
    <cellStyle name="Normal" xfId="0" builtinId="0"/>
    <cellStyle name="Normal 2" xfId="2" xr:uid="{00000000-0005-0000-0000-000047000000}"/>
    <cellStyle name="Normal 2 2" xfId="97" xr:uid="{00000000-0005-0000-0000-000048000000}"/>
    <cellStyle name="Normal 3" xfId="3" xr:uid="{00000000-0005-0000-0000-000049000000}"/>
    <cellStyle name="Normal 4" xfId="95" xr:uid="{00000000-0005-0000-0000-00004A000000}"/>
    <cellStyle name="Normal 5" xfId="98" xr:uid="{00000000-0005-0000-0000-00004B000000}"/>
    <cellStyle name="Normal_Plhanilhas  750" xfId="4" xr:uid="{00000000-0005-0000-0000-00004C000000}"/>
    <cellStyle name="Normal_Plhanilhas  750 2" xfId="12" xr:uid="{00000000-0005-0000-0000-00004D000000}"/>
    <cellStyle name="Nota 2" xfId="81" xr:uid="{00000000-0005-0000-0000-00004E000000}"/>
    <cellStyle name="Nota 3" xfId="96" xr:uid="{00000000-0005-0000-0000-00004F000000}"/>
    <cellStyle name="Note" xfId="82" xr:uid="{00000000-0005-0000-0000-000050000000}"/>
    <cellStyle name="Output" xfId="83" xr:uid="{00000000-0005-0000-0000-000051000000}"/>
    <cellStyle name="Porcentagem" xfId="5" builtinId="5"/>
    <cellStyle name="Porcentagem 2" xfId="6" xr:uid="{00000000-0005-0000-0000-000053000000}"/>
    <cellStyle name="Saída 2" xfId="84" xr:uid="{00000000-0005-0000-0000-000054000000}"/>
    <cellStyle name="Separador de milhares 2" xfId="8" xr:uid="{00000000-0005-0000-0000-000055000000}"/>
    <cellStyle name="Separador de milhares 3" xfId="9" xr:uid="{00000000-0005-0000-0000-000056000000}"/>
    <cellStyle name="Separador de milhares 4" xfId="10" xr:uid="{00000000-0005-0000-0000-000057000000}"/>
    <cellStyle name="Texto de Aviso 2" xfId="85" xr:uid="{00000000-0005-0000-0000-000058000000}"/>
    <cellStyle name="Texto Explicativo 2" xfId="86" xr:uid="{00000000-0005-0000-0000-000059000000}"/>
    <cellStyle name="Title" xfId="87" xr:uid="{00000000-0005-0000-0000-00005A000000}"/>
    <cellStyle name="Título 1 2" xfId="89" xr:uid="{00000000-0005-0000-0000-00005B000000}"/>
    <cellStyle name="Título 2 2" xfId="90" xr:uid="{00000000-0005-0000-0000-00005C000000}"/>
    <cellStyle name="Título 3 2" xfId="91" xr:uid="{00000000-0005-0000-0000-00005D000000}"/>
    <cellStyle name="Título 4 2" xfId="92" xr:uid="{00000000-0005-0000-0000-00005E000000}"/>
    <cellStyle name="Título 5" xfId="88" xr:uid="{00000000-0005-0000-0000-00005F000000}"/>
    <cellStyle name="Total 2" xfId="93" xr:uid="{00000000-0005-0000-0000-000060000000}"/>
    <cellStyle name="Vírgula" xfId="7" builtinId="3"/>
    <cellStyle name="Vírgula 2" xfId="11" xr:uid="{00000000-0005-0000-0000-000062000000}"/>
    <cellStyle name="Vírgula 2 2" xfId="100" xr:uid="{00000000-0005-0000-0000-000063000000}"/>
    <cellStyle name="Warning Text" xfId="94" xr:uid="{00000000-0005-0000-0000-000064000000}"/>
  </cellStyles>
  <dxfs count="3">
    <dxf>
      <font>
        <condense val="0"/>
        <extend val="0"/>
        <color indexed="9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2676525</xdr:colOff>
      <xdr:row>21</xdr:row>
      <xdr:rowOff>161925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00000000-0008-0000-13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4381500"/>
          <a:ext cx="5095875" cy="904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2676525</xdr:colOff>
      <xdr:row>21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4381500"/>
          <a:ext cx="5095875" cy="904875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1800225</xdr:colOff>
      <xdr:row>18</xdr:row>
      <xdr:rowOff>66675</xdr:rowOff>
    </xdr:from>
    <xdr:to>
      <xdr:col>5</xdr:col>
      <xdr:colOff>412249</xdr:colOff>
      <xdr:row>30</xdr:row>
      <xdr:rowOff>15875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38725" y="4686300"/>
          <a:ext cx="4803274" cy="220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view="pageBreakPreview" topLeftCell="A4" zoomScaleSheetLayoutView="100" workbookViewId="0">
      <selection activeCell="R16" sqref="R16"/>
    </sheetView>
  </sheetViews>
  <sheetFormatPr defaultRowHeight="15.75" x14ac:dyDescent="0.2"/>
  <cols>
    <col min="1" max="1" width="11.85546875" style="232" customWidth="1"/>
    <col min="2" max="2" width="39.5703125" style="232" customWidth="1"/>
    <col min="3" max="3" width="8.7109375" style="232" customWidth="1"/>
    <col min="4" max="7" width="9" style="232" bestFit="1" customWidth="1"/>
    <col min="8" max="8" width="8.7109375" style="232" hidden="1" customWidth="1"/>
    <col min="9" max="9" width="7.85546875" style="232" customWidth="1"/>
    <col min="10" max="10" width="9.5703125" style="232" customWidth="1"/>
    <col min="11" max="11" width="9.28515625" style="232" customWidth="1"/>
    <col min="12" max="12" width="8.42578125" style="232" customWidth="1"/>
    <col min="13" max="14" width="8.85546875" style="232" customWidth="1"/>
    <col min="15" max="15" width="9.42578125" style="232" hidden="1" customWidth="1"/>
    <col min="16" max="16" width="13.140625" style="232" customWidth="1"/>
    <col min="17" max="17" width="11.85546875" style="232" customWidth="1"/>
    <col min="18" max="18" width="9.140625" style="232"/>
    <col min="19" max="19" width="14.5703125" style="232" bestFit="1" customWidth="1"/>
    <col min="20" max="16384" width="9.140625" style="232"/>
  </cols>
  <sheetData>
    <row r="1" spans="1:18" ht="22.5" customHeight="1" x14ac:dyDescent="0.2">
      <c r="A1" s="1010" t="str">
        <f>Terrap.!A1</f>
        <v>ESTADO DE MATO GROSSO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2"/>
    </row>
    <row r="2" spans="1:18" ht="22.5" customHeight="1" x14ac:dyDescent="0.2">
      <c r="A2" s="1013" t="str">
        <f>Terrap.!A2</f>
        <v xml:space="preserve">PREFEITURA MUNICIPAL DE BARRA DO BUGRES 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5"/>
    </row>
    <row r="3" spans="1:18" s="389" customFormat="1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7"/>
    </row>
    <row r="4" spans="1:18" s="389" customFormat="1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20" t="str">
        <f>Terrap.!I3</f>
        <v>SINAPI - MARÇO / 2020                                                                                                                               ANP - NOV/2019 (desonerado) SICRO OUT/2019</v>
      </c>
      <c r="P4" s="1020"/>
      <c r="Q4" s="1021"/>
    </row>
    <row r="5" spans="1:18" s="389" customFormat="1" ht="15.7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1016"/>
      <c r="F5" s="1016"/>
      <c r="G5" s="1016"/>
      <c r="H5" s="1016"/>
      <c r="I5" s="1016"/>
      <c r="J5" s="1016"/>
      <c r="K5" s="385" t="s">
        <v>370</v>
      </c>
      <c r="L5" s="1018" t="str">
        <f>Terrap.!F5</f>
        <v>maio 2020</v>
      </c>
      <c r="M5" s="1018"/>
      <c r="N5" s="1018"/>
      <c r="O5" s="1020"/>
      <c r="P5" s="1020"/>
      <c r="Q5" s="1021"/>
    </row>
    <row r="6" spans="1:18" s="389" customFormat="1" thickBot="1" x14ac:dyDescent="0.25">
      <c r="A6" s="386" t="s">
        <v>59</v>
      </c>
      <c r="B6" s="1019">
        <f>Pavim.!B6</f>
        <v>7896.8</v>
      </c>
      <c r="C6" s="1019"/>
      <c r="D6" s="1019"/>
      <c r="E6" s="1019"/>
      <c r="F6" s="1019"/>
      <c r="G6" s="1019"/>
      <c r="H6" s="1019"/>
      <c r="I6" s="1019"/>
      <c r="J6" s="1019"/>
      <c r="K6" s="387" t="s">
        <v>60</v>
      </c>
      <c r="L6" s="388">
        <f>Terrap.!F6</f>
        <v>0.26740000000000003</v>
      </c>
      <c r="M6" s="388"/>
      <c r="N6" s="387" t="s">
        <v>61</v>
      </c>
      <c r="O6" s="1022"/>
      <c r="P6" s="1022"/>
      <c r="Q6" s="1023"/>
    </row>
    <row r="7" spans="1:18" ht="25.5" customHeight="1" thickBot="1" x14ac:dyDescent="0.25">
      <c r="A7" s="1007" t="s">
        <v>300</v>
      </c>
      <c r="B7" s="1008"/>
      <c r="C7" s="1008"/>
      <c r="D7" s="1008"/>
      <c r="E7" s="1008"/>
      <c r="F7" s="1008"/>
      <c r="G7" s="1008"/>
      <c r="H7" s="1008"/>
      <c r="I7" s="1008"/>
      <c r="J7" s="1008"/>
      <c r="K7" s="1008"/>
      <c r="L7" s="1008"/>
      <c r="M7" s="1008"/>
      <c r="N7" s="1008"/>
      <c r="O7" s="1008"/>
      <c r="P7" s="1008"/>
      <c r="Q7" s="1009"/>
    </row>
    <row r="8" spans="1:18" s="241" customFormat="1" ht="23.25" customHeight="1" x14ac:dyDescent="0.2">
      <c r="A8" s="1028" t="s">
        <v>0</v>
      </c>
      <c r="B8" s="1026" t="s">
        <v>88</v>
      </c>
      <c r="C8" s="1026" t="s">
        <v>89</v>
      </c>
      <c r="D8" s="1026"/>
      <c r="E8" s="1026"/>
      <c r="F8" s="1026"/>
      <c r="G8" s="1026"/>
      <c r="H8" s="1026"/>
      <c r="I8" s="1032" t="s">
        <v>90</v>
      </c>
      <c r="J8" s="1033"/>
      <c r="K8" s="1030" t="s">
        <v>173</v>
      </c>
      <c r="L8" s="1030" t="s">
        <v>174</v>
      </c>
      <c r="M8" s="1030" t="s">
        <v>234</v>
      </c>
      <c r="N8" s="1030" t="s">
        <v>248</v>
      </c>
      <c r="O8" s="1030" t="s">
        <v>249</v>
      </c>
      <c r="P8" s="1026" t="s">
        <v>91</v>
      </c>
      <c r="Q8" s="1024" t="s">
        <v>92</v>
      </c>
    </row>
    <row r="9" spans="1:18" s="241" customFormat="1" ht="23.25" customHeight="1" x14ac:dyDescent="0.2">
      <c r="A9" s="1029"/>
      <c r="B9" s="1027"/>
      <c r="C9" s="376" t="s">
        <v>93</v>
      </c>
      <c r="D9" s="376" t="s">
        <v>94</v>
      </c>
      <c r="E9" s="376" t="s">
        <v>95</v>
      </c>
      <c r="F9" s="376" t="s">
        <v>96</v>
      </c>
      <c r="G9" s="376" t="s">
        <v>97</v>
      </c>
      <c r="H9" s="376" t="s">
        <v>298</v>
      </c>
      <c r="I9" s="376" t="s">
        <v>98</v>
      </c>
      <c r="J9" s="376" t="s">
        <v>235</v>
      </c>
      <c r="K9" s="1031"/>
      <c r="L9" s="1031"/>
      <c r="M9" s="1031"/>
      <c r="N9" s="1031"/>
      <c r="O9" s="1031"/>
      <c r="P9" s="1027"/>
      <c r="Q9" s="1025"/>
    </row>
    <row r="10" spans="1:18" s="241" customFormat="1" ht="15.75" customHeight="1" x14ac:dyDescent="0.2">
      <c r="A10" s="1005" t="s">
        <v>382</v>
      </c>
      <c r="B10" s="1006"/>
      <c r="C10" s="697"/>
      <c r="D10" s="697"/>
      <c r="E10" s="697"/>
      <c r="F10" s="697"/>
      <c r="G10" s="697"/>
      <c r="H10" s="697"/>
      <c r="I10" s="697"/>
      <c r="J10" s="697"/>
      <c r="K10" s="698"/>
      <c r="L10" s="698"/>
      <c r="M10" s="698"/>
      <c r="N10" s="698"/>
      <c r="O10" s="698"/>
      <c r="P10" s="697"/>
      <c r="Q10" s="696"/>
    </row>
    <row r="11" spans="1:18" x14ac:dyDescent="0.2">
      <c r="A11" s="242">
        <v>1</v>
      </c>
      <c r="B11" s="381"/>
      <c r="C11" s="234"/>
      <c r="D11" s="234"/>
      <c r="E11" s="234"/>
      <c r="F11" s="234"/>
      <c r="G11" s="234"/>
      <c r="H11" s="234"/>
      <c r="I11" s="235"/>
      <c r="J11" s="235"/>
      <c r="K11" s="235"/>
      <c r="L11" s="236"/>
      <c r="M11" s="236"/>
      <c r="N11" s="236"/>
      <c r="O11" s="236"/>
      <c r="P11" s="236"/>
      <c r="Q11" s="243"/>
      <c r="R11" s="237"/>
    </row>
    <row r="12" spans="1:18" x14ac:dyDescent="0.2">
      <c r="A12" s="242">
        <f>A11+1</f>
        <v>2</v>
      </c>
      <c r="B12" s="381"/>
      <c r="C12" s="234"/>
      <c r="D12" s="234"/>
      <c r="E12" s="234"/>
      <c r="F12" s="234"/>
      <c r="G12" s="234"/>
      <c r="H12" s="234"/>
      <c r="I12" s="235"/>
      <c r="J12" s="235"/>
      <c r="K12" s="235"/>
      <c r="L12" s="236"/>
      <c r="M12" s="236"/>
      <c r="N12" s="236"/>
      <c r="O12" s="236"/>
      <c r="P12" s="236"/>
      <c r="Q12" s="243"/>
      <c r="R12" s="237"/>
    </row>
    <row r="13" spans="1:18" x14ac:dyDescent="0.2">
      <c r="A13" s="242"/>
      <c r="B13" s="381"/>
      <c r="C13" s="234"/>
      <c r="D13" s="234"/>
      <c r="E13" s="234"/>
      <c r="F13" s="234"/>
      <c r="G13" s="234"/>
      <c r="H13" s="234"/>
      <c r="I13" s="235"/>
      <c r="J13" s="235"/>
      <c r="K13" s="235"/>
      <c r="L13" s="236"/>
      <c r="M13" s="236"/>
      <c r="N13" s="236"/>
      <c r="O13" s="236"/>
      <c r="P13" s="236"/>
      <c r="Q13" s="243"/>
      <c r="R13" s="237"/>
    </row>
    <row r="14" spans="1:18" x14ac:dyDescent="0.2">
      <c r="A14" s="1005" t="s">
        <v>505</v>
      </c>
      <c r="B14" s="1006"/>
      <c r="C14" s="234"/>
      <c r="D14" s="234"/>
      <c r="E14" s="234"/>
      <c r="F14" s="234"/>
      <c r="G14" s="234"/>
      <c r="H14" s="234"/>
      <c r="I14" s="235"/>
      <c r="J14" s="235"/>
      <c r="K14" s="235"/>
      <c r="L14" s="236"/>
      <c r="M14" s="236"/>
      <c r="N14" s="236"/>
      <c r="O14" s="236"/>
      <c r="P14" s="236"/>
      <c r="Q14" s="243"/>
      <c r="R14" s="237"/>
    </row>
    <row r="15" spans="1:18" x14ac:dyDescent="0.2">
      <c r="A15" s="242">
        <v>3</v>
      </c>
      <c r="B15" s="381"/>
      <c r="C15" s="234"/>
      <c r="D15" s="234"/>
      <c r="E15" s="234"/>
      <c r="F15" s="234"/>
      <c r="G15" s="234"/>
      <c r="H15" s="234"/>
      <c r="I15" s="235"/>
      <c r="J15" s="235"/>
      <c r="K15" s="235"/>
      <c r="L15" s="236"/>
      <c r="M15" s="236"/>
      <c r="N15" s="236"/>
      <c r="O15" s="236"/>
      <c r="P15" s="236"/>
      <c r="Q15" s="243"/>
      <c r="R15" s="237"/>
    </row>
    <row r="16" spans="1:18" x14ac:dyDescent="0.2">
      <c r="A16" s="242">
        <f>A15+1</f>
        <v>4</v>
      </c>
      <c r="B16" s="381"/>
      <c r="C16" s="234"/>
      <c r="D16" s="234"/>
      <c r="E16" s="234"/>
      <c r="F16" s="234"/>
      <c r="G16" s="234"/>
      <c r="H16" s="234"/>
      <c r="I16" s="235"/>
      <c r="J16" s="235"/>
      <c r="K16" s="235"/>
      <c r="L16" s="236"/>
      <c r="M16" s="236"/>
      <c r="N16" s="236"/>
      <c r="O16" s="236"/>
      <c r="P16" s="236"/>
      <c r="Q16" s="243"/>
      <c r="R16" s="237"/>
    </row>
    <row r="17" spans="1:19" x14ac:dyDescent="0.2">
      <c r="A17" s="242"/>
      <c r="B17" s="381"/>
      <c r="C17" s="234"/>
      <c r="D17" s="234"/>
      <c r="E17" s="234"/>
      <c r="F17" s="234"/>
      <c r="G17" s="234"/>
      <c r="H17" s="234"/>
      <c r="I17" s="235"/>
      <c r="J17" s="235"/>
      <c r="K17" s="356"/>
      <c r="L17" s="236"/>
      <c r="M17" s="236"/>
      <c r="N17" s="236"/>
      <c r="O17" s="357"/>
      <c r="P17" s="236"/>
      <c r="Q17" s="243"/>
      <c r="R17" s="237"/>
    </row>
    <row r="18" spans="1:19" x14ac:dyDescent="0.2">
      <c r="A18" s="242"/>
      <c r="B18" s="233"/>
      <c r="C18" s="234"/>
      <c r="D18" s="234"/>
      <c r="E18" s="234"/>
      <c r="F18" s="234"/>
      <c r="G18" s="234"/>
      <c r="H18" s="234"/>
      <c r="I18" s="235"/>
      <c r="J18" s="235"/>
      <c r="K18" s="356"/>
      <c r="L18" s="236"/>
      <c r="M18" s="236"/>
      <c r="N18" s="236"/>
      <c r="O18" s="357"/>
      <c r="P18" s="236"/>
      <c r="Q18" s="243"/>
      <c r="R18" s="237"/>
    </row>
    <row r="19" spans="1:19" ht="18.75" customHeight="1" x14ac:dyDescent="0.2">
      <c r="A19" s="1039" t="s">
        <v>99</v>
      </c>
      <c r="B19" s="1040"/>
      <c r="C19" s="238">
        <f t="shared" ref="C19:H19" si="0">SUM(C11:C17)</f>
        <v>0</v>
      </c>
      <c r="D19" s="238">
        <f t="shared" si="0"/>
        <v>0</v>
      </c>
      <c r="E19" s="238">
        <f t="shared" si="0"/>
        <v>0</v>
      </c>
      <c r="F19" s="238">
        <f t="shared" si="0"/>
        <v>0</v>
      </c>
      <c r="G19" s="238">
        <f t="shared" si="0"/>
        <v>0</v>
      </c>
      <c r="H19" s="238">
        <f t="shared" si="0"/>
        <v>0</v>
      </c>
      <c r="I19" s="1040">
        <f>SUM(I11:I18)</f>
        <v>0</v>
      </c>
      <c r="J19" s="1040">
        <f t="shared" ref="J19:Q19" si="1">SUM(J11:J18)</f>
        <v>0</v>
      </c>
      <c r="K19" s="1040">
        <f t="shared" si="1"/>
        <v>0</v>
      </c>
      <c r="L19" s="1040">
        <f t="shared" si="1"/>
        <v>0</v>
      </c>
      <c r="M19" s="1040">
        <f t="shared" si="1"/>
        <v>0</v>
      </c>
      <c r="N19" s="1040">
        <f t="shared" si="1"/>
        <v>0</v>
      </c>
      <c r="O19" s="1040">
        <f t="shared" si="1"/>
        <v>0</v>
      </c>
      <c r="P19" s="1040">
        <f t="shared" si="1"/>
        <v>0</v>
      </c>
      <c r="Q19" s="1034">
        <f t="shared" si="1"/>
        <v>0</v>
      </c>
      <c r="S19" s="366">
        <f>Orçam.!L57</f>
        <v>0</v>
      </c>
    </row>
    <row r="20" spans="1:19" ht="18.75" customHeight="1" thickBot="1" x14ac:dyDescent="0.25">
      <c r="A20" s="1036" t="s">
        <v>100</v>
      </c>
      <c r="B20" s="1037"/>
      <c r="C20" s="1038">
        <f>SUM(C19:H19)</f>
        <v>0</v>
      </c>
      <c r="D20" s="1037"/>
      <c r="E20" s="1037"/>
      <c r="F20" s="1037"/>
      <c r="G20" s="1037"/>
      <c r="H20" s="1037"/>
      <c r="I20" s="1037"/>
      <c r="J20" s="1037"/>
      <c r="K20" s="1037"/>
      <c r="L20" s="1037"/>
      <c r="M20" s="1037"/>
      <c r="N20" s="1037"/>
      <c r="O20" s="1037"/>
      <c r="P20" s="1037"/>
      <c r="Q20" s="1035"/>
    </row>
    <row r="22" spans="1:19" ht="99.75" customHeight="1" x14ac:dyDescent="0.2">
      <c r="C22" s="239"/>
      <c r="D22" s="239"/>
    </row>
    <row r="23" spans="1:19" x14ac:dyDescent="0.2">
      <c r="B23" s="239" t="str">
        <f>Terrap.!B20</f>
        <v xml:space="preserve">Vinicius Ferreira Fava </v>
      </c>
    </row>
    <row r="24" spans="1:19" x14ac:dyDescent="0.2">
      <c r="B24" s="240" t="str">
        <f>Terrap.!B21</f>
        <v>ENGº CIVIL</v>
      </c>
    </row>
  </sheetData>
  <mergeCells count="34">
    <mergeCell ref="Q19:Q20"/>
    <mergeCell ref="A20:B20"/>
    <mergeCell ref="C20:H20"/>
    <mergeCell ref="A19:B19"/>
    <mergeCell ref="I19:I20"/>
    <mergeCell ref="J19:J20"/>
    <mergeCell ref="M19:M20"/>
    <mergeCell ref="P19:P20"/>
    <mergeCell ref="L19:L20"/>
    <mergeCell ref="K19:K20"/>
    <mergeCell ref="N19:N20"/>
    <mergeCell ref="O19:O20"/>
    <mergeCell ref="O8:O9"/>
    <mergeCell ref="B8:B9"/>
    <mergeCell ref="C8:H8"/>
    <mergeCell ref="I8:J8"/>
    <mergeCell ref="M8:M9"/>
    <mergeCell ref="L8:L9"/>
    <mergeCell ref="A10:B10"/>
    <mergeCell ref="A14:B14"/>
    <mergeCell ref="A7:Q7"/>
    <mergeCell ref="A1:Q1"/>
    <mergeCell ref="A2:Q2"/>
    <mergeCell ref="B3:Q3"/>
    <mergeCell ref="L5:N5"/>
    <mergeCell ref="B5:J5"/>
    <mergeCell ref="B6:J6"/>
    <mergeCell ref="B4:N4"/>
    <mergeCell ref="O4:Q6"/>
    <mergeCell ref="Q8:Q9"/>
    <mergeCell ref="P8:P9"/>
    <mergeCell ref="A8:A9"/>
    <mergeCell ref="K8:K9"/>
    <mergeCell ref="N8:N9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6"/>
  <sheetViews>
    <sheetView view="pageBreakPreview" topLeftCell="A17" zoomScale="115" zoomScaleSheetLayoutView="115" workbookViewId="0">
      <selection activeCell="J45" sqref="J45"/>
    </sheetView>
  </sheetViews>
  <sheetFormatPr defaultRowHeight="12.75" x14ac:dyDescent="0.2"/>
  <cols>
    <col min="1" max="1" width="11.85546875" style="265" customWidth="1"/>
    <col min="2" max="2" width="44" style="265" customWidth="1"/>
    <col min="3" max="3" width="15.42578125" style="265" customWidth="1"/>
    <col min="4" max="4" width="14.28515625" style="265" customWidth="1"/>
    <col min="5" max="5" width="10" style="265" customWidth="1"/>
    <col min="6" max="6" width="9.140625" style="265"/>
    <col min="7" max="7" width="9.28515625" style="265" bestFit="1" customWidth="1"/>
    <col min="8" max="8" width="11.85546875" style="265" customWidth="1"/>
    <col min="9" max="9" width="16.7109375" style="265" customWidth="1"/>
    <col min="10" max="10" width="14.5703125" style="265" customWidth="1"/>
    <col min="11" max="16384" width="9.140625" style="265"/>
  </cols>
  <sheetData>
    <row r="1" spans="1:12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2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2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017"/>
    </row>
    <row r="4" spans="1:12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20" t="str">
        <f>Terrap.!I3</f>
        <v>SINAPI - MARÇO / 2020                                                                                                                               ANP - NOV/2019 (desonerado) SICRO OUT/2019</v>
      </c>
      <c r="J4" s="1021"/>
    </row>
    <row r="5" spans="1:12" ht="15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018"/>
      <c r="I5" s="1020"/>
      <c r="J5" s="1021"/>
    </row>
    <row r="6" spans="1:12" ht="15.75" thickBot="1" x14ac:dyDescent="0.25">
      <c r="A6" s="386" t="s">
        <v>59</v>
      </c>
      <c r="B6" s="1019">
        <f>Pavim.!B6</f>
        <v>7896.8</v>
      </c>
      <c r="C6" s="1019"/>
      <c r="D6" s="1019"/>
      <c r="E6" s="387" t="s">
        <v>60</v>
      </c>
      <c r="F6" s="1163">
        <f>Terrap.!F6</f>
        <v>0.26740000000000003</v>
      </c>
      <c r="G6" s="1163"/>
      <c r="H6" s="387" t="s">
        <v>61</v>
      </c>
      <c r="I6" s="1022"/>
      <c r="J6" s="1023"/>
    </row>
    <row r="7" spans="1:12" s="562" customFormat="1" ht="19.5" customHeight="1" thickBot="1" x14ac:dyDescent="0.25">
      <c r="A7" s="1214" t="s">
        <v>621</v>
      </c>
      <c r="B7" s="1215"/>
      <c r="C7" s="1215"/>
      <c r="D7" s="1215"/>
      <c r="E7" s="1215"/>
      <c r="F7" s="1215"/>
      <c r="G7" s="1215"/>
      <c r="H7" s="1215"/>
      <c r="I7" s="1215"/>
      <c r="J7" s="1216"/>
    </row>
    <row r="8" spans="1:12" s="750" customFormat="1" ht="20.25" customHeight="1" x14ac:dyDescent="0.2">
      <c r="A8" s="1205" t="s">
        <v>62</v>
      </c>
      <c r="B8" s="1179" t="s">
        <v>63</v>
      </c>
      <c r="C8" s="1179" t="s">
        <v>376</v>
      </c>
      <c r="D8" s="1179"/>
      <c r="E8" s="1179" t="s">
        <v>388</v>
      </c>
      <c r="F8" s="1179" t="s">
        <v>65</v>
      </c>
      <c r="G8" s="1179"/>
      <c r="H8" s="1179"/>
      <c r="I8" s="1179"/>
      <c r="J8" s="1180" t="s">
        <v>562</v>
      </c>
    </row>
    <row r="9" spans="1:12" s="750" customFormat="1" ht="28.5" customHeight="1" x14ac:dyDescent="0.2">
      <c r="A9" s="1206"/>
      <c r="B9" s="1207"/>
      <c r="C9" s="673" t="s">
        <v>72</v>
      </c>
      <c r="D9" s="673" t="s">
        <v>101</v>
      </c>
      <c r="E9" s="1207"/>
      <c r="F9" s="673" t="s">
        <v>67</v>
      </c>
      <c r="G9" s="673" t="s">
        <v>68</v>
      </c>
      <c r="H9" s="673" t="s">
        <v>389</v>
      </c>
      <c r="I9" s="673" t="s">
        <v>390</v>
      </c>
      <c r="J9" s="1181"/>
    </row>
    <row r="10" spans="1:12" s="562" customFormat="1" ht="14.25" x14ac:dyDescent="0.2">
      <c r="A10" s="1182" t="str">
        <f>Terrap.!A10</f>
        <v>TRECHO 01</v>
      </c>
      <c r="B10" s="1183"/>
      <c r="C10" s="1183"/>
      <c r="D10" s="1183"/>
      <c r="E10" s="1183"/>
      <c r="F10" s="1183"/>
      <c r="G10" s="1183"/>
      <c r="H10" s="1183"/>
      <c r="I10" s="1183"/>
      <c r="J10" s="1239"/>
    </row>
    <row r="11" spans="1:12" s="562" customFormat="1" ht="15" x14ac:dyDescent="0.2">
      <c r="A11" s="556">
        <f>Pavim.!A11</f>
        <v>1</v>
      </c>
      <c r="B11" s="455" t="str">
        <f>Pavim.!B11</f>
        <v>RUA DOM PEDRO II</v>
      </c>
      <c r="C11" s="367">
        <v>298.77</v>
      </c>
      <c r="D11" s="367">
        <v>306.62</v>
      </c>
      <c r="E11" s="367">
        <f>D11+C11</f>
        <v>605.39</v>
      </c>
      <c r="F11" s="456" t="str">
        <f>Terrap.!F11</f>
        <v>LR-01</v>
      </c>
      <c r="G11" s="368"/>
      <c r="H11" s="369"/>
      <c r="I11" s="369">
        <f t="shared" ref="I11:I16" si="0">H11*G11</f>
        <v>0</v>
      </c>
      <c r="J11" s="565">
        <f>I11+E11</f>
        <v>605.39</v>
      </c>
    </row>
    <row r="12" spans="1:12" s="562" customFormat="1" ht="15" x14ac:dyDescent="0.2">
      <c r="A12" s="1187">
        <f>Pavim.!A12</f>
        <v>2</v>
      </c>
      <c r="B12" s="1190" t="str">
        <f>Pavim.!B12</f>
        <v>RUA DOM ARTUR</v>
      </c>
      <c r="C12" s="1193">
        <v>258.56</v>
      </c>
      <c r="D12" s="1193">
        <v>302.5</v>
      </c>
      <c r="E12" s="1193">
        <f>D12+C12</f>
        <v>561.05999999999995</v>
      </c>
      <c r="F12" s="456" t="str">
        <f>Terrap.!F12</f>
        <v>LR-01</v>
      </c>
      <c r="G12" s="368"/>
      <c r="H12" s="369"/>
      <c r="I12" s="369">
        <f t="shared" si="0"/>
        <v>0</v>
      </c>
      <c r="J12" s="1240">
        <f>I12+E12+I13+I14</f>
        <v>561.05999999999995</v>
      </c>
    </row>
    <row r="13" spans="1:12" s="562" customFormat="1" ht="15" x14ac:dyDescent="0.2">
      <c r="A13" s="1188"/>
      <c r="B13" s="1191"/>
      <c r="C13" s="1194"/>
      <c r="D13" s="1194"/>
      <c r="E13" s="1194"/>
      <c r="F13" s="936" t="str">
        <f>Terrap.!F13</f>
        <v>LR-02</v>
      </c>
      <c r="G13" s="368"/>
      <c r="H13" s="369"/>
      <c r="I13" s="369">
        <f t="shared" si="0"/>
        <v>0</v>
      </c>
      <c r="J13" s="1241"/>
    </row>
    <row r="14" spans="1:12" s="562" customFormat="1" ht="15" x14ac:dyDescent="0.2">
      <c r="A14" s="1189"/>
      <c r="B14" s="1192"/>
      <c r="C14" s="1195"/>
      <c r="D14" s="1195"/>
      <c r="E14" s="1195"/>
      <c r="F14" s="936" t="str">
        <f>Terrap.!F14</f>
        <v>CT-01</v>
      </c>
      <c r="G14" s="368"/>
      <c r="H14" s="369"/>
      <c r="I14" s="369">
        <f t="shared" si="0"/>
        <v>0</v>
      </c>
      <c r="J14" s="1242"/>
    </row>
    <row r="15" spans="1:12" s="562" customFormat="1" ht="15" x14ac:dyDescent="0.2">
      <c r="A15" s="556">
        <f>Pavim.!A15</f>
        <v>3</v>
      </c>
      <c r="B15" s="455" t="str">
        <f>Pavim.!B15</f>
        <v>RUA TAPAJOS</v>
      </c>
      <c r="C15" s="663">
        <f>71.5+186.1+55.33</f>
        <v>312.93</v>
      </c>
      <c r="D15" s="663">
        <f>159.5+168.23</f>
        <v>327.73</v>
      </c>
      <c r="E15" s="367">
        <f>D15+C15</f>
        <v>640.66</v>
      </c>
      <c r="F15" s="456" t="str">
        <f>Terrap.!F15</f>
        <v>LR-01</v>
      </c>
      <c r="G15" s="368"/>
      <c r="H15" s="369"/>
      <c r="I15" s="369">
        <f t="shared" si="0"/>
        <v>0</v>
      </c>
      <c r="J15" s="565">
        <f>I15+E15</f>
        <v>640.66</v>
      </c>
      <c r="L15" s="563">
        <f>J11+J34</f>
        <v>680.67</v>
      </c>
    </row>
    <row r="16" spans="1:12" s="562" customFormat="1" ht="15" x14ac:dyDescent="0.2">
      <c r="A16" s="661">
        <f>Pavim.!A16</f>
        <v>4</v>
      </c>
      <c r="B16" s="652">
        <f>Pavim.!B16</f>
        <v>0</v>
      </c>
      <c r="C16" s="663">
        <f>Terrap.!C16</f>
        <v>0</v>
      </c>
      <c r="D16" s="663">
        <f>C16</f>
        <v>0</v>
      </c>
      <c r="E16" s="663">
        <f>D16+C16</f>
        <v>0</v>
      </c>
      <c r="F16" s="456">
        <f>Terrap.!F16</f>
        <v>0</v>
      </c>
      <c r="G16" s="368"/>
      <c r="H16" s="369"/>
      <c r="I16" s="369">
        <f t="shared" si="0"/>
        <v>0</v>
      </c>
      <c r="J16" s="665">
        <f>I16+E16</f>
        <v>0</v>
      </c>
      <c r="L16" s="563">
        <f>J12+J35</f>
        <v>588.64</v>
      </c>
    </row>
    <row r="17" spans="1:13" s="562" customFormat="1" ht="15" x14ac:dyDescent="0.2">
      <c r="A17" s="556"/>
      <c r="B17" s="455"/>
      <c r="C17" s="367"/>
      <c r="D17" s="367"/>
      <c r="E17" s="367"/>
      <c r="F17" s="456"/>
      <c r="G17" s="368"/>
      <c r="H17" s="369"/>
      <c r="I17" s="369"/>
      <c r="J17" s="565"/>
      <c r="L17" s="563">
        <f>J15+J38</f>
        <v>672.74</v>
      </c>
    </row>
    <row r="18" spans="1:13" s="562" customFormat="1" ht="15" x14ac:dyDescent="0.2">
      <c r="A18" s="1182" t="s">
        <v>73</v>
      </c>
      <c r="B18" s="1183"/>
      <c r="C18" s="370">
        <f>SUM(C11:C17)</f>
        <v>870.26</v>
      </c>
      <c r="D18" s="370"/>
      <c r="E18" s="370">
        <f>SUM(E11:E17)</f>
        <v>1807.11</v>
      </c>
      <c r="F18" s="456"/>
      <c r="G18" s="368"/>
      <c r="H18" s="372"/>
      <c r="I18" s="370">
        <f>SUM(I11:I17)</f>
        <v>0</v>
      </c>
      <c r="J18" s="375">
        <f>SUM(J11:J17)</f>
        <v>1807.11</v>
      </c>
      <c r="M18" s="563"/>
    </row>
    <row r="19" spans="1:13" s="562" customFormat="1" ht="15" thickBot="1" x14ac:dyDescent="0.25">
      <c r="A19" s="1175" t="s">
        <v>214</v>
      </c>
      <c r="B19" s="1176"/>
      <c r="C19" s="1177">
        <f>I18+E18</f>
        <v>1807.11</v>
      </c>
      <c r="D19" s="1177"/>
      <c r="E19" s="1177"/>
      <c r="F19" s="1177"/>
      <c r="G19" s="1177"/>
      <c r="H19" s="1177"/>
      <c r="I19" s="1177"/>
      <c r="J19" s="1178"/>
    </row>
    <row r="20" spans="1:13" ht="13.5" thickBot="1" x14ac:dyDescent="0.25">
      <c r="A20" s="562"/>
      <c r="B20" s="562"/>
      <c r="C20" s="562"/>
      <c r="D20" s="562"/>
      <c r="E20" s="562"/>
      <c r="F20" s="562"/>
      <c r="G20" s="562"/>
      <c r="H20" s="562"/>
      <c r="I20" s="562"/>
      <c r="J20" s="562"/>
    </row>
    <row r="21" spans="1:13" ht="16.5" thickBot="1" x14ac:dyDescent="0.25">
      <c r="A21" s="1214" t="s">
        <v>622</v>
      </c>
      <c r="B21" s="1215"/>
      <c r="C21" s="1215"/>
      <c r="D21" s="1215"/>
      <c r="E21" s="1215"/>
      <c r="F21" s="1215"/>
      <c r="G21" s="1215"/>
      <c r="H21" s="1215"/>
      <c r="I21" s="1215"/>
      <c r="J21" s="1216"/>
    </row>
    <row r="22" spans="1:13" ht="14.25" customHeight="1" x14ac:dyDescent="0.2">
      <c r="A22" s="1205" t="s">
        <v>62</v>
      </c>
      <c r="B22" s="1179" t="s">
        <v>63</v>
      </c>
      <c r="C22" s="1179" t="s">
        <v>376</v>
      </c>
      <c r="D22" s="1179"/>
      <c r="E22" s="1179" t="s">
        <v>388</v>
      </c>
      <c r="F22" s="1179" t="s">
        <v>65</v>
      </c>
      <c r="G22" s="1179"/>
      <c r="H22" s="1179"/>
      <c r="I22" s="1179"/>
      <c r="J22" s="1180" t="s">
        <v>562</v>
      </c>
    </row>
    <row r="23" spans="1:13" ht="28.5" x14ac:dyDescent="0.2">
      <c r="A23" s="1206"/>
      <c r="B23" s="1207"/>
      <c r="C23" s="807" t="s">
        <v>72</v>
      </c>
      <c r="D23" s="807" t="s">
        <v>101</v>
      </c>
      <c r="E23" s="1207"/>
      <c r="F23" s="807" t="s">
        <v>67</v>
      </c>
      <c r="G23" s="807" t="s">
        <v>68</v>
      </c>
      <c r="H23" s="807" t="s">
        <v>389</v>
      </c>
      <c r="I23" s="807" t="s">
        <v>390</v>
      </c>
      <c r="J23" s="1181"/>
    </row>
    <row r="24" spans="1:13" ht="14.25" hidden="1" x14ac:dyDescent="0.2">
      <c r="A24" s="1182" t="str">
        <f>A10</f>
        <v>TRECHO 01</v>
      </c>
      <c r="B24" s="1183"/>
      <c r="C24" s="1183"/>
      <c r="D24" s="1183"/>
      <c r="E24" s="1183"/>
      <c r="F24" s="1183"/>
      <c r="G24" s="1183"/>
      <c r="H24" s="1183"/>
      <c r="I24" s="1183"/>
      <c r="J24" s="1239"/>
    </row>
    <row r="25" spans="1:13" ht="15" hidden="1" x14ac:dyDescent="0.2">
      <c r="A25" s="661">
        <f>A11</f>
        <v>1</v>
      </c>
      <c r="B25" s="805" t="str">
        <f>B11</f>
        <v>RUA DOM PEDRO II</v>
      </c>
      <c r="C25" s="663"/>
      <c r="D25" s="663"/>
      <c r="E25" s="663">
        <f>D25+C25</f>
        <v>0</v>
      </c>
      <c r="F25" s="806" t="str">
        <f>F11</f>
        <v>LR-01</v>
      </c>
      <c r="G25" s="368">
        <f>G11</f>
        <v>0</v>
      </c>
      <c r="H25" s="369"/>
      <c r="I25" s="369">
        <f>H25*G25</f>
        <v>0</v>
      </c>
      <c r="J25" s="665">
        <f>I25+E25</f>
        <v>0</v>
      </c>
    </row>
    <row r="26" spans="1:13" ht="15" hidden="1" x14ac:dyDescent="0.2">
      <c r="A26" s="661">
        <f>A12</f>
        <v>2</v>
      </c>
      <c r="B26" s="805" t="str">
        <f>B12</f>
        <v>RUA DOM ARTUR</v>
      </c>
      <c r="C26" s="663"/>
      <c r="D26" s="663"/>
      <c r="E26" s="663">
        <f>D26+C26</f>
        <v>0</v>
      </c>
      <c r="F26" s="806" t="str">
        <f>F12</f>
        <v>LR-01</v>
      </c>
      <c r="G26" s="368">
        <f>G12</f>
        <v>0</v>
      </c>
      <c r="H26" s="369"/>
      <c r="I26" s="369">
        <f>H26*G26</f>
        <v>0</v>
      </c>
      <c r="J26" s="665">
        <f>I26+E26</f>
        <v>0</v>
      </c>
    </row>
    <row r="27" spans="1:13" ht="15" hidden="1" x14ac:dyDescent="0.2">
      <c r="A27" s="661">
        <f>A15</f>
        <v>3</v>
      </c>
      <c r="B27" s="805" t="str">
        <f>B15</f>
        <v>RUA TAPAJOS</v>
      </c>
      <c r="C27" s="663"/>
      <c r="D27" s="663"/>
      <c r="E27" s="663">
        <f>D27+C27</f>
        <v>0</v>
      </c>
      <c r="F27" s="806" t="str">
        <f>F15</f>
        <v>LR-01</v>
      </c>
      <c r="G27" s="368">
        <f>G15</f>
        <v>0</v>
      </c>
      <c r="H27" s="369"/>
      <c r="I27" s="369">
        <f>H27*G27</f>
        <v>0</v>
      </c>
      <c r="J27" s="665">
        <f>I27+E27</f>
        <v>0</v>
      </c>
    </row>
    <row r="28" spans="1:13" ht="15" hidden="1" x14ac:dyDescent="0.2">
      <c r="A28" s="661">
        <f>A16</f>
        <v>4</v>
      </c>
      <c r="B28" s="805">
        <f>B16</f>
        <v>0</v>
      </c>
      <c r="C28" s="663"/>
      <c r="D28" s="663"/>
      <c r="E28" s="663">
        <f>D28+C28</f>
        <v>0</v>
      </c>
      <c r="F28" s="806">
        <f>F16</f>
        <v>0</v>
      </c>
      <c r="G28" s="368">
        <f>G16</f>
        <v>0</v>
      </c>
      <c r="H28" s="369"/>
      <c r="I28" s="369">
        <f>H28*G28</f>
        <v>0</v>
      </c>
      <c r="J28" s="665">
        <f>I28+E28</f>
        <v>0</v>
      </c>
    </row>
    <row r="29" spans="1:13" ht="14.25" x14ac:dyDescent="0.2">
      <c r="A29" s="1182"/>
      <c r="B29" s="1183"/>
      <c r="C29" s="1183"/>
      <c r="D29" s="1183"/>
      <c r="E29" s="1183"/>
      <c r="F29" s="1183"/>
      <c r="G29" s="1183"/>
      <c r="H29" s="1183"/>
      <c r="I29" s="1183"/>
      <c r="J29" s="1239"/>
    </row>
    <row r="30" spans="1:13" ht="15" hidden="1" x14ac:dyDescent="0.2">
      <c r="A30" s="661" t="e">
        <f>#REF!</f>
        <v>#REF!</v>
      </c>
      <c r="B30" s="805" t="e">
        <f>#REF!</f>
        <v>#REF!</v>
      </c>
      <c r="C30" s="663"/>
      <c r="D30" s="663"/>
      <c r="E30" s="663">
        <f>D30+C30</f>
        <v>0</v>
      </c>
      <c r="F30" s="806" t="e">
        <f>#REF!</f>
        <v>#REF!</v>
      </c>
      <c r="G30" s="368" t="e">
        <f>#REF!</f>
        <v>#REF!</v>
      </c>
      <c r="H30" s="369"/>
      <c r="I30" s="369" t="e">
        <f>H30*G30</f>
        <v>#REF!</v>
      </c>
      <c r="J30" s="665" t="e">
        <f>I30+E30</f>
        <v>#REF!</v>
      </c>
    </row>
    <row r="31" spans="1:13" ht="15" hidden="1" x14ac:dyDescent="0.2">
      <c r="A31" s="661" t="e">
        <f>#REF!</f>
        <v>#REF!</v>
      </c>
      <c r="B31" s="805" t="e">
        <f>#REF!</f>
        <v>#REF!</v>
      </c>
      <c r="C31" s="663"/>
      <c r="D31" s="663"/>
      <c r="E31" s="663">
        <f>D31+C31</f>
        <v>0</v>
      </c>
      <c r="F31" s="806" t="e">
        <f>#REF!</f>
        <v>#REF!</v>
      </c>
      <c r="G31" s="368" t="e">
        <f>#REF!</f>
        <v>#REF!</v>
      </c>
      <c r="H31" s="369"/>
      <c r="I31" s="369" t="e">
        <f>H31*G31</f>
        <v>#REF!</v>
      </c>
      <c r="J31" s="665" t="e">
        <f>I31+E31</f>
        <v>#REF!</v>
      </c>
    </row>
    <row r="32" spans="1:13" ht="15" hidden="1" x14ac:dyDescent="0.2">
      <c r="A32" s="661" t="e">
        <f>#REF!</f>
        <v>#REF!</v>
      </c>
      <c r="B32" s="805" t="e">
        <f>#REF!</f>
        <v>#REF!</v>
      </c>
      <c r="C32" s="663"/>
      <c r="D32" s="663"/>
      <c r="E32" s="663">
        <f>D32+C32</f>
        <v>0</v>
      </c>
      <c r="F32" s="806" t="e">
        <f>#REF!</f>
        <v>#REF!</v>
      </c>
      <c r="G32" s="368" t="e">
        <f>#REF!</f>
        <v>#REF!</v>
      </c>
      <c r="H32" s="369"/>
      <c r="I32" s="369" t="e">
        <f>H32*G32</f>
        <v>#REF!</v>
      </c>
      <c r="J32" s="665" t="e">
        <f>I32+E32</f>
        <v>#REF!</v>
      </c>
    </row>
    <row r="33" spans="1:10" ht="15" hidden="1" x14ac:dyDescent="0.2">
      <c r="A33" s="661" t="e">
        <f>#REF!</f>
        <v>#REF!</v>
      </c>
      <c r="B33" s="805" t="e">
        <f>#REF!</f>
        <v>#REF!</v>
      </c>
      <c r="C33" s="663"/>
      <c r="D33" s="663"/>
      <c r="E33" s="663">
        <f>D33+C33</f>
        <v>0</v>
      </c>
      <c r="F33" s="806" t="e">
        <f>#REF!</f>
        <v>#REF!</v>
      </c>
      <c r="G33" s="368" t="e">
        <f>#REF!</f>
        <v>#REF!</v>
      </c>
      <c r="H33" s="369"/>
      <c r="I33" s="369" t="e">
        <f>H33*G33</f>
        <v>#REF!</v>
      </c>
      <c r="J33" s="665" t="e">
        <f>I33+E33</f>
        <v>#REF!</v>
      </c>
    </row>
    <row r="34" spans="1:10" ht="15" x14ac:dyDescent="0.2">
      <c r="A34" s="661">
        <f>A11</f>
        <v>1</v>
      </c>
      <c r="B34" s="805" t="str">
        <f>B11</f>
        <v>RUA DOM PEDRO II</v>
      </c>
      <c r="C34" s="663">
        <v>37.64</v>
      </c>
      <c r="D34" s="663">
        <v>37.64</v>
      </c>
      <c r="E34" s="663">
        <f>C34+D34</f>
        <v>75.28</v>
      </c>
      <c r="F34" s="806"/>
      <c r="G34" s="368"/>
      <c r="H34" s="369"/>
      <c r="I34" s="369">
        <f t="shared" ref="I34:I40" si="1">H34*G34</f>
        <v>0</v>
      </c>
      <c r="J34" s="665">
        <f t="shared" ref="J34:J40" si="2">I34+E34</f>
        <v>75.28</v>
      </c>
    </row>
    <row r="35" spans="1:10" ht="15" x14ac:dyDescent="0.2">
      <c r="A35" s="1187">
        <f>A12</f>
        <v>2</v>
      </c>
      <c r="B35" s="1190" t="str">
        <f>B12</f>
        <v>RUA DOM ARTUR</v>
      </c>
      <c r="C35" s="663">
        <v>27.58</v>
      </c>
      <c r="D35" s="663"/>
      <c r="E35" s="663">
        <f t="shared" ref="E35:E40" si="3">C35+D35</f>
        <v>27.58</v>
      </c>
      <c r="F35" s="902"/>
      <c r="G35" s="368"/>
      <c r="H35" s="369"/>
      <c r="I35" s="369">
        <f t="shared" si="1"/>
        <v>0</v>
      </c>
      <c r="J35" s="1240">
        <f>I35+E35+I36+I37</f>
        <v>27.58</v>
      </c>
    </row>
    <row r="36" spans="1:10" ht="15" x14ac:dyDescent="0.2">
      <c r="A36" s="1188"/>
      <c r="B36" s="1191"/>
      <c r="C36" s="663"/>
      <c r="D36" s="663"/>
      <c r="E36" s="663"/>
      <c r="F36" s="936"/>
      <c r="G36" s="368"/>
      <c r="H36" s="369"/>
      <c r="I36" s="369">
        <f t="shared" si="1"/>
        <v>0</v>
      </c>
      <c r="J36" s="1241"/>
    </row>
    <row r="37" spans="1:10" ht="15" x14ac:dyDescent="0.2">
      <c r="A37" s="1189"/>
      <c r="B37" s="1192"/>
      <c r="C37" s="663"/>
      <c r="D37" s="663"/>
      <c r="E37" s="663"/>
      <c r="F37" s="936"/>
      <c r="G37" s="368"/>
      <c r="H37" s="369"/>
      <c r="I37" s="369">
        <f t="shared" si="1"/>
        <v>0</v>
      </c>
      <c r="J37" s="1242"/>
    </row>
    <row r="38" spans="1:10" ht="15" x14ac:dyDescent="0.2">
      <c r="A38" s="661">
        <f t="shared" ref="A38:B40" si="4">A15</f>
        <v>3</v>
      </c>
      <c r="B38" s="901" t="str">
        <f t="shared" si="4"/>
        <v>RUA TAPAJOS</v>
      </c>
      <c r="C38" s="663">
        <v>32.08</v>
      </c>
      <c r="D38" s="663"/>
      <c r="E38" s="663">
        <f t="shared" si="3"/>
        <v>32.08</v>
      </c>
      <c r="F38" s="902"/>
      <c r="G38" s="368"/>
      <c r="H38" s="369"/>
      <c r="I38" s="369">
        <f t="shared" si="1"/>
        <v>0</v>
      </c>
      <c r="J38" s="665">
        <f t="shared" si="2"/>
        <v>32.08</v>
      </c>
    </row>
    <row r="39" spans="1:10" ht="15" x14ac:dyDescent="0.2">
      <c r="A39" s="661">
        <f t="shared" si="4"/>
        <v>4</v>
      </c>
      <c r="B39" s="901">
        <f t="shared" si="4"/>
        <v>0</v>
      </c>
      <c r="C39" s="663"/>
      <c r="D39" s="663"/>
      <c r="E39" s="663">
        <f t="shared" si="3"/>
        <v>0</v>
      </c>
      <c r="F39" s="902">
        <f t="shared" ref="F39:G40" si="5">F16</f>
        <v>0</v>
      </c>
      <c r="G39" s="368">
        <f t="shared" si="5"/>
        <v>0</v>
      </c>
      <c r="H39" s="369"/>
      <c r="I39" s="369">
        <f t="shared" si="1"/>
        <v>0</v>
      </c>
      <c r="J39" s="665">
        <f t="shared" si="2"/>
        <v>0</v>
      </c>
    </row>
    <row r="40" spans="1:10" ht="15" x14ac:dyDescent="0.2">
      <c r="A40" s="661">
        <f t="shared" si="4"/>
        <v>0</v>
      </c>
      <c r="B40" s="901">
        <f t="shared" si="4"/>
        <v>0</v>
      </c>
      <c r="C40" s="663"/>
      <c r="D40" s="663"/>
      <c r="E40" s="663">
        <f t="shared" si="3"/>
        <v>0</v>
      </c>
      <c r="F40" s="902">
        <f t="shared" si="5"/>
        <v>0</v>
      </c>
      <c r="G40" s="368">
        <f t="shared" si="5"/>
        <v>0</v>
      </c>
      <c r="H40" s="369"/>
      <c r="I40" s="369">
        <f t="shared" si="1"/>
        <v>0</v>
      </c>
      <c r="J40" s="665">
        <f t="shared" si="2"/>
        <v>0</v>
      </c>
    </row>
    <row r="41" spans="1:10" ht="15" x14ac:dyDescent="0.2">
      <c r="A41" s="1182" t="s">
        <v>73</v>
      </c>
      <c r="B41" s="1183"/>
      <c r="C41" s="370">
        <f>SUM(C25:C40)</f>
        <v>97.3</v>
      </c>
      <c r="D41" s="370">
        <f>SUM(D25:D40)</f>
        <v>37.64</v>
      </c>
      <c r="E41" s="370">
        <f>SUM(E25:E40)</f>
        <v>134.94</v>
      </c>
      <c r="F41" s="806"/>
      <c r="G41" s="368"/>
      <c r="H41" s="372"/>
      <c r="I41" s="370">
        <f>SUM(I34:I40)</f>
        <v>0</v>
      </c>
      <c r="J41" s="375">
        <f>SUM(J34:J40)</f>
        <v>134.94</v>
      </c>
    </row>
    <row r="42" spans="1:10" ht="15" thickBot="1" x14ac:dyDescent="0.25">
      <c r="A42" s="1175" t="s">
        <v>214</v>
      </c>
      <c r="B42" s="1176"/>
      <c r="C42" s="1177">
        <f>I41+E41</f>
        <v>134.94</v>
      </c>
      <c r="D42" s="1177"/>
      <c r="E42" s="1177"/>
      <c r="F42" s="1177"/>
      <c r="G42" s="1177"/>
      <c r="H42" s="1177"/>
      <c r="I42" s="1177"/>
      <c r="J42" s="1178"/>
    </row>
    <row r="43" spans="1:10" x14ac:dyDescent="0.2">
      <c r="A43" s="562"/>
      <c r="B43" s="562"/>
      <c r="C43" s="562"/>
      <c r="D43" s="562"/>
      <c r="E43" s="562"/>
      <c r="F43" s="562"/>
      <c r="G43" s="562"/>
      <c r="H43" s="562"/>
      <c r="I43" s="562"/>
      <c r="J43" s="562"/>
    </row>
    <row r="44" spans="1:10" x14ac:dyDescent="0.2">
      <c r="A44" s="562"/>
      <c r="B44" s="562"/>
      <c r="C44" s="562"/>
      <c r="D44" s="562"/>
      <c r="E44" s="562"/>
      <c r="F44" s="562"/>
      <c r="G44" s="562"/>
      <c r="H44" s="562"/>
      <c r="I44" s="562"/>
      <c r="J44" s="563">
        <f>J34+J35+J38</f>
        <v>134.94</v>
      </c>
    </row>
    <row r="45" spans="1:10" x14ac:dyDescent="0.2">
      <c r="A45" s="562"/>
      <c r="B45" s="562"/>
      <c r="C45" s="562"/>
      <c r="D45" s="562"/>
      <c r="E45" s="562"/>
      <c r="F45" s="562"/>
      <c r="G45" s="562"/>
      <c r="H45" s="562"/>
      <c r="I45" s="562"/>
      <c r="J45" s="562"/>
    </row>
    <row r="46" spans="1:10" x14ac:dyDescent="0.2">
      <c r="A46" s="562"/>
      <c r="B46" s="562"/>
      <c r="C46" s="562"/>
      <c r="D46" s="562"/>
      <c r="E46" s="562"/>
      <c r="F46" s="562"/>
      <c r="G46" s="562"/>
      <c r="H46" s="562"/>
      <c r="I46" s="562"/>
      <c r="J46" s="562"/>
    </row>
    <row r="47" spans="1:10" ht="15.75" x14ac:dyDescent="0.2">
      <c r="A47" s="562"/>
      <c r="B47" s="918" t="str">
        <f>Terrap.!B20</f>
        <v xml:space="preserve">Vinicius Ferreira Fava </v>
      </c>
      <c r="C47" s="562"/>
      <c r="D47" s="562"/>
      <c r="E47" s="562"/>
      <c r="F47" s="562"/>
      <c r="G47" s="562"/>
      <c r="H47" s="562"/>
      <c r="I47" s="562"/>
      <c r="J47" s="562"/>
    </row>
    <row r="48" spans="1:10" x14ac:dyDescent="0.2">
      <c r="A48" s="562"/>
      <c r="B48" s="846" t="str">
        <f>Terrap.!B21</f>
        <v>ENGº CIVIL</v>
      </c>
      <c r="C48" s="562"/>
      <c r="D48" s="562"/>
      <c r="E48" s="562"/>
      <c r="F48" s="562"/>
      <c r="G48" s="562"/>
      <c r="H48" s="562"/>
      <c r="I48" s="562"/>
      <c r="J48" s="562"/>
    </row>
    <row r="49" spans="2:7" x14ac:dyDescent="0.2">
      <c r="B49" s="846" t="str">
        <f>Terrap.!B22</f>
        <v>Crea: 121.286.161-2</v>
      </c>
    </row>
    <row r="54" spans="2:7" x14ac:dyDescent="0.2">
      <c r="G54" s="292"/>
    </row>
    <row r="55" spans="2:7" x14ac:dyDescent="0.2">
      <c r="G55" s="996"/>
    </row>
    <row r="56" spans="2:7" x14ac:dyDescent="0.2">
      <c r="G56" s="997"/>
    </row>
  </sheetData>
  <mergeCells count="41">
    <mergeCell ref="J22:J23"/>
    <mergeCell ref="A24:J24"/>
    <mergeCell ref="A29:J29"/>
    <mergeCell ref="A41:B41"/>
    <mergeCell ref="A42:B42"/>
    <mergeCell ref="C42:J42"/>
    <mergeCell ref="A22:A23"/>
    <mergeCell ref="B22:B23"/>
    <mergeCell ref="C22:D22"/>
    <mergeCell ref="E22:E23"/>
    <mergeCell ref="F22:I22"/>
    <mergeCell ref="A35:A37"/>
    <mergeCell ref="B35:B37"/>
    <mergeCell ref="J35:J37"/>
    <mergeCell ref="B5:D5"/>
    <mergeCell ref="F5:H5"/>
    <mergeCell ref="B6:D6"/>
    <mergeCell ref="F6:G6"/>
    <mergeCell ref="A21:J21"/>
    <mergeCell ref="A12:A14"/>
    <mergeCell ref="B12:B14"/>
    <mergeCell ref="C12:C14"/>
    <mergeCell ref="D12:D14"/>
    <mergeCell ref="E12:E14"/>
    <mergeCell ref="J12:J14"/>
    <mergeCell ref="A1:J1"/>
    <mergeCell ref="A2:J2"/>
    <mergeCell ref="A18:B18"/>
    <mergeCell ref="A19:B19"/>
    <mergeCell ref="C19:J19"/>
    <mergeCell ref="A7:J7"/>
    <mergeCell ref="A8:A9"/>
    <mergeCell ref="B8:B9"/>
    <mergeCell ref="C8:D8"/>
    <mergeCell ref="E8:E9"/>
    <mergeCell ref="F8:I8"/>
    <mergeCell ref="J8:J9"/>
    <mergeCell ref="A10:J10"/>
    <mergeCell ref="B3:J3"/>
    <mergeCell ref="B4:H4"/>
    <mergeCell ref="I4:J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2"/>
  <sheetViews>
    <sheetView view="pageBreakPreview" zoomScaleNormal="100" zoomScaleSheetLayoutView="100" workbookViewId="0">
      <selection activeCell="D13" sqref="D13"/>
    </sheetView>
  </sheetViews>
  <sheetFormatPr defaultRowHeight="12.75" x14ac:dyDescent="0.2"/>
  <cols>
    <col min="2" max="2" width="28" customWidth="1"/>
    <col min="3" max="3" width="17.85546875" customWidth="1"/>
    <col min="4" max="4" width="16.7109375" customWidth="1"/>
    <col min="5" max="5" width="14.5703125" customWidth="1"/>
  </cols>
  <sheetData>
    <row r="1" spans="1:5" x14ac:dyDescent="0.2">
      <c r="A1" s="1248" t="str">
        <f>CALÇADA!A1</f>
        <v>ESTADO DE MATO GROSSO</v>
      </c>
      <c r="B1" s="1248"/>
      <c r="C1" s="1248"/>
      <c r="D1" s="1248"/>
      <c r="E1" s="1248"/>
    </row>
    <row r="2" spans="1:5" x14ac:dyDescent="0.2">
      <c r="A2" s="1248" t="str">
        <f>CALÇADA!A2</f>
        <v xml:space="preserve">PREFEITURA MUNICIPAL DE BARRA DO BUGRES </v>
      </c>
      <c r="B2" s="1248"/>
      <c r="C2" s="1248"/>
      <c r="D2" s="1248"/>
      <c r="E2" s="1248"/>
    </row>
    <row r="3" spans="1:5" x14ac:dyDescent="0.2">
      <c r="A3" s="91" t="str">
        <f>CALÇADA!A3</f>
        <v>OBRA:</v>
      </c>
      <c r="B3" s="1249" t="str">
        <f>CALÇADA!B3</f>
        <v>PAVIMENTAÇÃO ASFALTICA E DRENAGEM DE AGUAS PLUVIAIS</v>
      </c>
      <c r="C3" s="1249"/>
      <c r="D3" s="1249"/>
      <c r="E3" s="1249"/>
    </row>
    <row r="4" spans="1:5" x14ac:dyDescent="0.2">
      <c r="A4" s="91" t="str">
        <f>CALÇADA!A4</f>
        <v>LOCAL:</v>
      </c>
      <c r="B4" s="1249" t="str">
        <f>CALÇADA!B4</f>
        <v>DIVERSAS RUAS - PERIMETRO URBANO</v>
      </c>
      <c r="C4" s="1249"/>
      <c r="D4" s="1249"/>
      <c r="E4" s="1249"/>
    </row>
    <row r="5" spans="1:5" x14ac:dyDescent="0.2">
      <c r="A5" s="91" t="str">
        <f>CALÇADA!A5</f>
        <v>PROPR.:</v>
      </c>
      <c r="B5" s="1249" t="str">
        <f>CALÇADA!B5</f>
        <v xml:space="preserve">PREFEITURA MUNICIPAL DE BARRA DO BUGRES </v>
      </c>
      <c r="C5" s="1249"/>
      <c r="D5" s="1249"/>
      <c r="E5" s="1249"/>
    </row>
    <row r="6" spans="1:5" x14ac:dyDescent="0.2">
      <c r="A6" s="91" t="str">
        <f>CALÇADA!A6</f>
        <v>ÁREA (M²):</v>
      </c>
      <c r="B6" s="1249">
        <f>CALÇADA!B6</f>
        <v>7896.8</v>
      </c>
      <c r="C6" s="1249"/>
      <c r="D6" s="1249"/>
      <c r="E6" s="1249"/>
    </row>
    <row r="7" spans="1:5" x14ac:dyDescent="0.2">
      <c r="A7" s="91"/>
    </row>
    <row r="8" spans="1:5" x14ac:dyDescent="0.2">
      <c r="A8" s="91" t="s">
        <v>650</v>
      </c>
    </row>
    <row r="9" spans="1:5" ht="13.5" thickBot="1" x14ac:dyDescent="0.25">
      <c r="A9" s="91"/>
    </row>
    <row r="10" spans="1:5" x14ac:dyDescent="0.2">
      <c r="A10" s="1245" t="str">
        <f>'MF e Sarj.'!A8</f>
        <v>Item</v>
      </c>
      <c r="B10" s="1243" t="str">
        <f>CALÇADA!B8</f>
        <v>Rua/Avenida</v>
      </c>
      <c r="C10" s="1243" t="s">
        <v>651</v>
      </c>
      <c r="D10" s="1243"/>
      <c r="E10" s="1247"/>
    </row>
    <row r="11" spans="1:5" x14ac:dyDescent="0.2">
      <c r="A11" s="1246"/>
      <c r="B11" s="1244"/>
      <c r="C11" s="938" t="s">
        <v>652</v>
      </c>
      <c r="D11" s="938" t="s">
        <v>653</v>
      </c>
      <c r="E11" s="939" t="s">
        <v>654</v>
      </c>
    </row>
    <row r="12" spans="1:5" x14ac:dyDescent="0.2">
      <c r="A12" s="940">
        <f>'MF e Sarj.'!A11</f>
        <v>1</v>
      </c>
      <c r="B12" s="938" t="str">
        <f>'MF e Sarj.'!B11</f>
        <v>RUA DOM PEDRO II</v>
      </c>
      <c r="C12" s="938">
        <f>67.25+82.75+112.25</f>
        <v>262.25</v>
      </c>
      <c r="D12" s="938">
        <f>66.5+82.25+112</f>
        <v>260.75</v>
      </c>
      <c r="E12" s="939">
        <f>C12+D12</f>
        <v>523</v>
      </c>
    </row>
    <row r="13" spans="1:5" x14ac:dyDescent="0.2">
      <c r="A13" s="940">
        <f>'MF e Sarj.'!A12</f>
        <v>2</v>
      </c>
      <c r="B13" s="938" t="str">
        <f>'MF e Sarj.'!B12</f>
        <v>RUA DOM ARTUR</v>
      </c>
      <c r="C13" s="938">
        <f>40.5+63.5+107.5+10.15+50.42+10+3.6+8.75</f>
        <v>294.42</v>
      </c>
      <c r="D13" s="938">
        <f>45+89.5+45.25+40.5</f>
        <v>220.25</v>
      </c>
      <c r="E13" s="939">
        <f>C13+D13</f>
        <v>514.66999999999996</v>
      </c>
    </row>
    <row r="14" spans="1:5" x14ac:dyDescent="0.2">
      <c r="A14" s="940">
        <f>'MF e Sarj.'!A15</f>
        <v>3</v>
      </c>
      <c r="B14" s="938" t="str">
        <f>'MF e Sarj.'!B15</f>
        <v>RUA TAPAJOS</v>
      </c>
      <c r="C14" s="938">
        <f>147.75+175.5</f>
        <v>323.25</v>
      </c>
      <c r="D14" s="938">
        <f>147.5+156</f>
        <v>303.5</v>
      </c>
      <c r="E14" s="939">
        <f>C14+D14</f>
        <v>626.75</v>
      </c>
    </row>
    <row r="15" spans="1:5" x14ac:dyDescent="0.2">
      <c r="A15" s="940"/>
      <c r="B15" s="938"/>
      <c r="C15" s="938"/>
      <c r="D15" s="938"/>
      <c r="E15" s="939"/>
    </row>
    <row r="16" spans="1:5" ht="13.5" thickBot="1" x14ac:dyDescent="0.25">
      <c r="A16" s="941"/>
      <c r="B16" s="942"/>
      <c r="C16" s="942"/>
      <c r="D16" s="942"/>
      <c r="E16" s="943">
        <f>SUM(E12:E15)</f>
        <v>1664.42</v>
      </c>
    </row>
    <row r="20" spans="2:2" x14ac:dyDescent="0.2">
      <c r="B20" s="937" t="str">
        <f>CALÇADA!B21</f>
        <v xml:space="preserve">Vinicius Ferreira Fava </v>
      </c>
    </row>
    <row r="21" spans="2:2" x14ac:dyDescent="0.2">
      <c r="B21" s="937" t="str">
        <f>CALÇADA!B22</f>
        <v>ENGº CIVIL</v>
      </c>
    </row>
    <row r="22" spans="2:2" x14ac:dyDescent="0.2">
      <c r="B22" s="937" t="str">
        <f>CALÇADA!B23</f>
        <v>Crea: 121.286.161-2</v>
      </c>
    </row>
  </sheetData>
  <mergeCells count="9">
    <mergeCell ref="B10:B11"/>
    <mergeCell ref="A10:A11"/>
    <mergeCell ref="C10:E10"/>
    <mergeCell ref="A1:E1"/>
    <mergeCell ref="A2:E2"/>
    <mergeCell ref="B3:E3"/>
    <mergeCell ref="B4:E4"/>
    <mergeCell ref="B5:E5"/>
    <mergeCell ref="B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"/>
  <sheetViews>
    <sheetView view="pageBreakPreview" topLeftCell="A4" zoomScale="115" zoomScaleSheetLayoutView="115" workbookViewId="0">
      <selection activeCell="L21" sqref="L21"/>
    </sheetView>
  </sheetViews>
  <sheetFormatPr defaultRowHeight="12.75" x14ac:dyDescent="0.2"/>
  <cols>
    <col min="1" max="1" width="12.85546875" style="265" customWidth="1"/>
    <col min="2" max="2" width="44" style="265" customWidth="1"/>
    <col min="3" max="3" width="10.85546875" style="265" customWidth="1"/>
    <col min="4" max="5" width="10" style="265" customWidth="1"/>
    <col min="6" max="6" width="9.140625" style="265"/>
    <col min="7" max="7" width="7.28515625" style="265" customWidth="1"/>
    <col min="8" max="8" width="13.140625" style="265" customWidth="1"/>
    <col min="9" max="9" width="10.7109375" style="265" customWidth="1"/>
    <col min="10" max="10" width="10" style="265" customWidth="1"/>
    <col min="11" max="11" width="10.140625" style="265" customWidth="1"/>
    <col min="12" max="12" width="9.7109375" style="265" customWidth="1"/>
    <col min="13" max="16384" width="9.140625" style="265"/>
  </cols>
  <sheetData>
    <row r="1" spans="1:15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80"/>
    </row>
    <row r="2" spans="1:15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3"/>
    </row>
    <row r="3" spans="1:15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250"/>
      <c r="K3" s="1250"/>
      <c r="L3" s="1017"/>
    </row>
    <row r="4" spans="1:15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20" t="str">
        <f>Terrap.!I3</f>
        <v>SINAPI - MARÇO / 2020                                                                                                                               ANP - NOV/2019 (desonerado) SICRO OUT/2019</v>
      </c>
      <c r="J4" s="1251"/>
      <c r="K4" s="1251"/>
      <c r="L4" s="1021"/>
    </row>
    <row r="5" spans="1:15" ht="15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018"/>
      <c r="I5" s="1020"/>
      <c r="J5" s="1251"/>
      <c r="K5" s="1251"/>
      <c r="L5" s="1021"/>
    </row>
    <row r="6" spans="1:15" ht="15.75" thickBot="1" x14ac:dyDescent="0.25">
      <c r="A6" s="386" t="s">
        <v>59</v>
      </c>
      <c r="B6" s="1019">
        <f>Pavim.!B6</f>
        <v>7896.8</v>
      </c>
      <c r="C6" s="1019"/>
      <c r="D6" s="1019"/>
      <c r="E6" s="387" t="s">
        <v>60</v>
      </c>
      <c r="F6" s="1163">
        <f>Terrap.!F6</f>
        <v>0.26740000000000003</v>
      </c>
      <c r="G6" s="1163"/>
      <c r="H6" s="387" t="s">
        <v>61</v>
      </c>
      <c r="I6" s="1022"/>
      <c r="J6" s="1252"/>
      <c r="K6" s="1252"/>
      <c r="L6" s="1023"/>
    </row>
    <row r="7" spans="1:15" s="562" customFormat="1" ht="19.5" customHeight="1" thickBot="1" x14ac:dyDescent="0.25">
      <c r="A7" s="1255" t="s">
        <v>341</v>
      </c>
      <c r="B7" s="1256"/>
      <c r="C7" s="1256"/>
      <c r="D7" s="1256"/>
      <c r="E7" s="1256"/>
      <c r="F7" s="1256"/>
      <c r="G7" s="1256"/>
      <c r="H7" s="1256"/>
      <c r="I7" s="1256"/>
      <c r="J7" s="1257"/>
      <c r="K7" s="1257"/>
      <c r="L7" s="1258"/>
    </row>
    <row r="8" spans="1:15" s="674" customFormat="1" ht="14.25" customHeight="1" x14ac:dyDescent="0.2">
      <c r="A8" s="1205" t="s">
        <v>62</v>
      </c>
      <c r="B8" s="1179" t="s">
        <v>63</v>
      </c>
      <c r="C8" s="1179" t="s">
        <v>376</v>
      </c>
      <c r="D8" s="1179" t="s">
        <v>404</v>
      </c>
      <c r="E8" s="1179" t="s">
        <v>64</v>
      </c>
      <c r="F8" s="1179" t="s">
        <v>65</v>
      </c>
      <c r="G8" s="1179"/>
      <c r="H8" s="1179"/>
      <c r="I8" s="1179"/>
      <c r="J8" s="1179" t="s">
        <v>381</v>
      </c>
      <c r="K8" s="1179" t="s">
        <v>401</v>
      </c>
      <c r="L8" s="1180" t="s">
        <v>325</v>
      </c>
    </row>
    <row r="9" spans="1:15" s="674" customFormat="1" ht="33" customHeight="1" x14ac:dyDescent="0.2">
      <c r="A9" s="1206"/>
      <c r="B9" s="1207"/>
      <c r="C9" s="1207"/>
      <c r="D9" s="1207"/>
      <c r="E9" s="1207"/>
      <c r="F9" s="673" t="s">
        <v>67</v>
      </c>
      <c r="G9" s="673" t="s">
        <v>68</v>
      </c>
      <c r="H9" s="673" t="s">
        <v>380</v>
      </c>
      <c r="I9" s="673" t="s">
        <v>381</v>
      </c>
      <c r="J9" s="1207"/>
      <c r="K9" s="1207"/>
      <c r="L9" s="1181"/>
    </row>
    <row r="10" spans="1:15" s="562" customFormat="1" ht="14.25" x14ac:dyDescent="0.2">
      <c r="A10" s="1182" t="str">
        <f>Terrap.!A10</f>
        <v>TRECHO 01</v>
      </c>
      <c r="B10" s="1183"/>
      <c r="C10" s="1183"/>
      <c r="D10" s="1183"/>
      <c r="E10" s="1183"/>
      <c r="F10" s="1183"/>
      <c r="G10" s="1183"/>
      <c r="H10" s="1183"/>
      <c r="I10" s="1183"/>
      <c r="J10" s="1183"/>
      <c r="K10" s="1183"/>
      <c r="L10" s="1239"/>
    </row>
    <row r="11" spans="1:15" s="562" customFormat="1" ht="15" x14ac:dyDescent="0.2">
      <c r="A11" s="661">
        <f>Terrap.!A11</f>
        <v>1</v>
      </c>
      <c r="B11" s="656" t="str">
        <f>Terrap.!B11</f>
        <v>RUA DOM PEDRO II</v>
      </c>
      <c r="C11" s="663">
        <f>'MF e Sarj.'!E11+'MF e Sarj.'!J34</f>
        <v>680.67</v>
      </c>
      <c r="D11" s="663">
        <v>1.5</v>
      </c>
      <c r="E11" s="663">
        <f>C11*D11</f>
        <v>1021.01</v>
      </c>
      <c r="F11" s="669" t="str">
        <f>Terrap.!F11</f>
        <v>LR-01</v>
      </c>
      <c r="G11" s="368">
        <f>Terrap.!G11</f>
        <v>6</v>
      </c>
      <c r="H11" s="369">
        <f>-1.93*2</f>
        <v>-3.86</v>
      </c>
      <c r="I11" s="369">
        <f>H11*G11</f>
        <v>-23.16</v>
      </c>
      <c r="J11" s="675">
        <f>I11+E11</f>
        <v>997.85</v>
      </c>
      <c r="K11" s="369">
        <v>0.05</v>
      </c>
      <c r="L11" s="747">
        <f>TRUNC(K11*J11,2)</f>
        <v>49.89</v>
      </c>
    </row>
    <row r="12" spans="1:15" s="562" customFormat="1" ht="15" x14ac:dyDescent="0.2">
      <c r="A12" s="661">
        <f>Terrap.!A12</f>
        <v>2</v>
      </c>
      <c r="B12" s="656" t="str">
        <f>Terrap.!B12</f>
        <v>RUA DOM ARTUR</v>
      </c>
      <c r="C12" s="663">
        <f>'MF e Sarj.'!E12+'MF e Sarj.'!J35</f>
        <v>588.64</v>
      </c>
      <c r="D12" s="663">
        <f>D11</f>
        <v>1.5</v>
      </c>
      <c r="E12" s="663">
        <f>C12*D12</f>
        <v>882.96</v>
      </c>
      <c r="F12" s="669" t="str">
        <f>Terrap.!F12</f>
        <v>LR-01</v>
      </c>
      <c r="G12" s="368">
        <f>Terrap.!G12</f>
        <v>2</v>
      </c>
      <c r="H12" s="369">
        <f>-1.93*2</f>
        <v>-3.86</v>
      </c>
      <c r="I12" s="369">
        <f>H12*G12</f>
        <v>-7.72</v>
      </c>
      <c r="J12" s="675">
        <f>I12+E12</f>
        <v>875.24</v>
      </c>
      <c r="K12" s="663">
        <f>K11</f>
        <v>0.05</v>
      </c>
      <c r="L12" s="747">
        <f>TRUNC(K12*J12,2)</f>
        <v>43.76</v>
      </c>
    </row>
    <row r="13" spans="1:15" s="562" customFormat="1" ht="15" x14ac:dyDescent="0.2">
      <c r="A13" s="661">
        <f>Terrap.!A15</f>
        <v>3</v>
      </c>
      <c r="B13" s="656" t="str">
        <f>Terrap.!B15</f>
        <v>RUA TAPAJOS</v>
      </c>
      <c r="C13" s="663">
        <f>'MF e Sarj.'!E15+'MF e Sarj.'!J38</f>
        <v>672.74</v>
      </c>
      <c r="D13" s="663">
        <f>D12</f>
        <v>1.5</v>
      </c>
      <c r="E13" s="663">
        <f>C13*D13</f>
        <v>1009.11</v>
      </c>
      <c r="F13" s="669" t="str">
        <f>Terrap.!F15</f>
        <v>LR-01</v>
      </c>
      <c r="G13" s="368">
        <f>Terrap.!G15</f>
        <v>4</v>
      </c>
      <c r="H13" s="369">
        <f>-1.93*2</f>
        <v>-3.86</v>
      </c>
      <c r="I13" s="369">
        <f>H13*G13</f>
        <v>-15.44</v>
      </c>
      <c r="J13" s="675">
        <f>I13+E13</f>
        <v>993.67</v>
      </c>
      <c r="K13" s="663">
        <f>K12</f>
        <v>0.05</v>
      </c>
      <c r="L13" s="747">
        <f>TRUNC(K13*J13,2)</f>
        <v>49.68</v>
      </c>
    </row>
    <row r="14" spans="1:15" s="562" customFormat="1" ht="15" x14ac:dyDescent="0.2">
      <c r="A14" s="661">
        <f>Terrap.!A16</f>
        <v>4</v>
      </c>
      <c r="B14" s="656">
        <f>Terrap.!B16</f>
        <v>0</v>
      </c>
      <c r="C14" s="663">
        <f>'MF e Sarj.'!E16+'MF e Sarj.'!J39</f>
        <v>0</v>
      </c>
      <c r="D14" s="663">
        <f>D13</f>
        <v>1.5</v>
      </c>
      <c r="E14" s="663">
        <f>C14*D14</f>
        <v>0</v>
      </c>
      <c r="F14" s="669">
        <f>Terrap.!F16</f>
        <v>0</v>
      </c>
      <c r="G14" s="368">
        <f>Terrap.!G16</f>
        <v>0</v>
      </c>
      <c r="H14" s="369">
        <f>'MF e Sarj.'!H16*D14</f>
        <v>0</v>
      </c>
      <c r="I14" s="369">
        <f>H14*G14</f>
        <v>0</v>
      </c>
      <c r="J14" s="675">
        <f>I14+E14</f>
        <v>0</v>
      </c>
      <c r="K14" s="663">
        <f>K13</f>
        <v>0.05</v>
      </c>
      <c r="L14" s="747">
        <f>TRUNC(K14*J14,2)</f>
        <v>0</v>
      </c>
    </row>
    <row r="15" spans="1:15" s="562" customFormat="1" ht="15" x14ac:dyDescent="0.2">
      <c r="A15" s="661"/>
      <c r="B15" s="656"/>
      <c r="C15" s="663">
        <f>'MF e Sarj.'!E17+'MF e Sarj.'!J40</f>
        <v>0</v>
      </c>
      <c r="D15" s="663">
        <f>D14</f>
        <v>1.5</v>
      </c>
      <c r="E15" s="663">
        <f>C15*D15</f>
        <v>0</v>
      </c>
      <c r="F15" s="669"/>
      <c r="G15" s="368"/>
      <c r="H15" s="369"/>
      <c r="I15" s="369"/>
      <c r="J15" s="675"/>
      <c r="K15" s="369"/>
      <c r="L15" s="748"/>
    </row>
    <row r="16" spans="1:15" s="562" customFormat="1" ht="15" x14ac:dyDescent="0.2">
      <c r="A16" s="1184" t="s">
        <v>403</v>
      </c>
      <c r="B16" s="1254"/>
      <c r="C16" s="370">
        <f>SUM(C11:C15)</f>
        <v>1942.05</v>
      </c>
      <c r="D16" s="370"/>
      <c r="E16" s="370">
        <f>SUM(E11:E15)</f>
        <v>2913.08</v>
      </c>
      <c r="F16" s="669"/>
      <c r="G16" s="368"/>
      <c r="H16" s="372"/>
      <c r="I16" s="370">
        <f>SUM(I11:I15)</f>
        <v>-46.32</v>
      </c>
      <c r="J16" s="370">
        <f>SUM(J11:J15)</f>
        <v>2866.76</v>
      </c>
      <c r="K16" s="370"/>
      <c r="L16" s="370">
        <f>SUM(L11:L15)</f>
        <v>143.33000000000001</v>
      </c>
      <c r="O16" s="563"/>
    </row>
    <row r="17" spans="1:12" s="562" customFormat="1" ht="15" thickBot="1" x14ac:dyDescent="0.25">
      <c r="A17" s="1175" t="s">
        <v>402</v>
      </c>
      <c r="B17" s="1176"/>
      <c r="C17" s="1177">
        <f>L16</f>
        <v>143.33000000000001</v>
      </c>
      <c r="D17" s="1177"/>
      <c r="E17" s="1177"/>
      <c r="F17" s="1177"/>
      <c r="G17" s="1177"/>
      <c r="H17" s="1177"/>
      <c r="I17" s="1177"/>
      <c r="J17" s="1177"/>
      <c r="K17" s="1177"/>
      <c r="L17" s="1178"/>
    </row>
    <row r="18" spans="1:12" x14ac:dyDescent="0.2">
      <c r="A18" s="562"/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</row>
    <row r="19" spans="1:12" x14ac:dyDescent="0.2">
      <c r="A19" s="562"/>
      <c r="B19" s="562"/>
      <c r="C19" s="562"/>
      <c r="D19" s="562"/>
      <c r="E19" s="1253" t="s">
        <v>729</v>
      </c>
      <c r="F19" s="1253"/>
      <c r="G19" s="1253"/>
      <c r="H19" s="1253"/>
      <c r="I19" s="1253"/>
      <c r="J19" s="1253"/>
      <c r="K19" s="1253"/>
      <c r="L19" s="562"/>
    </row>
    <row r="20" spans="1:12" x14ac:dyDescent="0.2">
      <c r="E20" s="1253"/>
      <c r="F20" s="1253"/>
      <c r="G20" s="1253"/>
      <c r="H20" s="1253"/>
      <c r="I20" s="1253"/>
      <c r="J20" s="1253"/>
      <c r="K20" s="1253"/>
    </row>
    <row r="21" spans="1:12" ht="15.75" x14ac:dyDescent="0.2">
      <c r="B21" s="918" t="str">
        <f>Terrap.!B20</f>
        <v xml:space="preserve">Vinicius Ferreira Fava </v>
      </c>
      <c r="E21" s="1253"/>
      <c r="F21" s="1253"/>
      <c r="G21" s="1253"/>
      <c r="H21" s="1253"/>
      <c r="I21" s="1253"/>
      <c r="J21" s="1253"/>
      <c r="K21" s="1253"/>
    </row>
    <row r="22" spans="1:12" x14ac:dyDescent="0.2">
      <c r="B22" s="846" t="str">
        <f>Terrap.!B21</f>
        <v>ENGº CIVIL</v>
      </c>
    </row>
    <row r="23" spans="1:12" x14ac:dyDescent="0.2">
      <c r="B23" s="846" t="str">
        <f>Terrap.!B22</f>
        <v>Crea: 121.286.161-2</v>
      </c>
    </row>
  </sheetData>
  <mergeCells count="24">
    <mergeCell ref="E19:K21"/>
    <mergeCell ref="A1:L1"/>
    <mergeCell ref="A2:L2"/>
    <mergeCell ref="A16:B16"/>
    <mergeCell ref="A17:B17"/>
    <mergeCell ref="C17:L17"/>
    <mergeCell ref="A7:L7"/>
    <mergeCell ref="A8:A9"/>
    <mergeCell ref="B8:B9"/>
    <mergeCell ref="C8:C9"/>
    <mergeCell ref="D8:D9"/>
    <mergeCell ref="E8:E9"/>
    <mergeCell ref="F8:I8"/>
    <mergeCell ref="L8:L9"/>
    <mergeCell ref="J8:J9"/>
    <mergeCell ref="K8:K9"/>
    <mergeCell ref="A10:L10"/>
    <mergeCell ref="B3:L3"/>
    <mergeCell ref="B4:H4"/>
    <mergeCell ref="I4:L6"/>
    <mergeCell ref="B5:D5"/>
    <mergeCell ref="F5:H5"/>
    <mergeCell ref="B6:D6"/>
    <mergeCell ref="F6:G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5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5"/>
  <sheetViews>
    <sheetView view="pageBreakPreview" topLeftCell="A4" zoomScaleSheetLayoutView="100" workbookViewId="0">
      <selection activeCell="L14" sqref="L14"/>
    </sheetView>
  </sheetViews>
  <sheetFormatPr defaultRowHeight="12.75" x14ac:dyDescent="0.2"/>
  <cols>
    <col min="1" max="1" width="11.7109375" style="108" customWidth="1"/>
    <col min="2" max="2" width="10.42578125" style="108" customWidth="1"/>
    <col min="3" max="3" width="42" style="108" customWidth="1"/>
    <col min="4" max="4" width="11" style="108" customWidth="1"/>
    <col min="5" max="5" width="9.140625" style="108"/>
    <col min="6" max="6" width="10.140625" style="108" bestFit="1" customWidth="1"/>
    <col min="7" max="7" width="7.28515625" style="108" customWidth="1"/>
    <col min="8" max="8" width="8.140625" style="108" customWidth="1"/>
    <col min="9" max="9" width="8" style="108" customWidth="1"/>
    <col min="10" max="10" width="8.28515625" style="108" customWidth="1"/>
    <col min="11" max="11" width="8.7109375" style="108" customWidth="1"/>
    <col min="12" max="12" width="10.42578125" style="108" customWidth="1"/>
    <col min="13" max="13" width="8" style="108" customWidth="1"/>
    <col min="14" max="14" width="9.28515625" style="108" customWidth="1"/>
    <col min="15" max="16384" width="9.140625" style="108"/>
  </cols>
  <sheetData>
    <row r="1" spans="1:14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80"/>
    </row>
    <row r="2" spans="1:14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3"/>
    </row>
    <row r="3" spans="1:14" ht="15" customHeight="1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208" t="str">
        <f>Terrap.!I3</f>
        <v>SINAPI - MARÇO / 2020                                                                                                                               ANP - NOV/2019 (desonerado) SICRO OUT/2019</v>
      </c>
      <c r="J3" s="1259"/>
      <c r="K3" s="1259"/>
      <c r="L3" s="1259"/>
      <c r="M3" s="1259"/>
      <c r="N3" s="1209"/>
    </row>
    <row r="4" spans="1:14" ht="15" customHeight="1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210"/>
      <c r="J4" s="1260"/>
      <c r="K4" s="1260"/>
      <c r="L4" s="1260"/>
      <c r="M4" s="1260"/>
      <c r="N4" s="1211"/>
    </row>
    <row r="5" spans="1:14" ht="15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018"/>
      <c r="I5" s="1210"/>
      <c r="J5" s="1260"/>
      <c r="K5" s="1260"/>
      <c r="L5" s="1260"/>
      <c r="M5" s="1260"/>
      <c r="N5" s="1211"/>
    </row>
    <row r="6" spans="1:14" ht="15.75" thickBot="1" x14ac:dyDescent="0.25">
      <c r="A6" s="386" t="s">
        <v>59</v>
      </c>
      <c r="B6" s="1019">
        <f>Pavim.!B6</f>
        <v>7896.8</v>
      </c>
      <c r="C6" s="1019"/>
      <c r="D6" s="1019"/>
      <c r="E6" s="387" t="s">
        <v>60</v>
      </c>
      <c r="F6" s="1163">
        <f>Terrap.!F6</f>
        <v>0.26740000000000003</v>
      </c>
      <c r="G6" s="1163"/>
      <c r="H6" s="387" t="s">
        <v>61</v>
      </c>
      <c r="I6" s="1212"/>
      <c r="J6" s="1261"/>
      <c r="K6" s="1261"/>
      <c r="L6" s="1261"/>
      <c r="M6" s="1261"/>
      <c r="N6" s="1213"/>
    </row>
    <row r="7" spans="1:14" ht="13.5" thickBot="1" x14ac:dyDescent="0.25">
      <c r="A7" s="1263"/>
      <c r="B7" s="1263"/>
      <c r="C7" s="1263"/>
      <c r="D7" s="1263"/>
      <c r="E7" s="1263"/>
      <c r="F7" s="1263"/>
      <c r="G7" s="1263"/>
      <c r="H7" s="1263"/>
      <c r="I7" s="1263"/>
      <c r="J7" s="1263"/>
      <c r="K7" s="1263"/>
      <c r="L7" s="291"/>
      <c r="M7" s="291"/>
    </row>
    <row r="8" spans="1:14" ht="16.5" thickBot="1" x14ac:dyDescent="0.25">
      <c r="B8" s="1267" t="s">
        <v>358</v>
      </c>
      <c r="C8" s="1268"/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9"/>
    </row>
    <row r="9" spans="1:14" ht="14.25" x14ac:dyDescent="0.2">
      <c r="B9" s="1264" t="s">
        <v>62</v>
      </c>
      <c r="C9" s="1265" t="s">
        <v>63</v>
      </c>
      <c r="D9" s="1264" t="s">
        <v>405</v>
      </c>
      <c r="E9" s="1266"/>
      <c r="F9" s="1265"/>
      <c r="G9" s="1264" t="s">
        <v>360</v>
      </c>
      <c r="H9" s="1266"/>
      <c r="I9" s="1266"/>
      <c r="J9" s="1266"/>
      <c r="K9" s="1265"/>
      <c r="L9" s="1205" t="s">
        <v>415</v>
      </c>
      <c r="M9" s="1179" t="s">
        <v>413</v>
      </c>
      <c r="N9" s="1180" t="s">
        <v>414</v>
      </c>
    </row>
    <row r="10" spans="1:14" ht="57" x14ac:dyDescent="0.2">
      <c r="B10" s="1182"/>
      <c r="C10" s="1239"/>
      <c r="D10" s="677" t="s">
        <v>407</v>
      </c>
      <c r="E10" s="457" t="s">
        <v>406</v>
      </c>
      <c r="F10" s="666" t="s">
        <v>408</v>
      </c>
      <c r="G10" s="677" t="s">
        <v>409</v>
      </c>
      <c r="H10" s="457" t="s">
        <v>410</v>
      </c>
      <c r="I10" s="457" t="s">
        <v>412</v>
      </c>
      <c r="J10" s="457" t="s">
        <v>411</v>
      </c>
      <c r="K10" s="666" t="s">
        <v>359</v>
      </c>
      <c r="L10" s="1206"/>
      <c r="M10" s="1207"/>
      <c r="N10" s="1181"/>
    </row>
    <row r="11" spans="1:14" ht="14.25" x14ac:dyDescent="0.2">
      <c r="B11" s="1184" t="str">
        <f>CALÇADA!A10</f>
        <v>TRECHO 01</v>
      </c>
      <c r="C11" s="1185"/>
      <c r="D11" s="1185"/>
      <c r="E11" s="1185"/>
      <c r="F11" s="1185"/>
      <c r="G11" s="1185"/>
      <c r="H11" s="1185"/>
      <c r="I11" s="1185"/>
      <c r="J11" s="1185"/>
      <c r="K11" s="1185"/>
      <c r="L11" s="1185"/>
      <c r="M11" s="1185"/>
      <c r="N11" s="1186"/>
    </row>
    <row r="12" spans="1:14" ht="15" x14ac:dyDescent="0.2">
      <c r="B12" s="373">
        <f>Pavim.!A11</f>
        <v>1</v>
      </c>
      <c r="C12" s="683" t="str">
        <f>Terrap.!B11</f>
        <v>RUA DOM PEDRO II</v>
      </c>
      <c r="D12" s="679">
        <f>'CALC PISO TATIL'!E12</f>
        <v>523</v>
      </c>
      <c r="E12" s="368">
        <v>4</v>
      </c>
      <c r="F12" s="680">
        <f>D12*E12</f>
        <v>2092</v>
      </c>
      <c r="G12" s="661"/>
      <c r="H12" s="368"/>
      <c r="I12" s="368">
        <v>12</v>
      </c>
      <c r="J12" s="368">
        <v>37</v>
      </c>
      <c r="K12" s="374">
        <f>J12*I12</f>
        <v>444</v>
      </c>
      <c r="L12" s="682">
        <f>ROUND(K12+F12,0)</f>
        <v>2536</v>
      </c>
      <c r="M12" s="746">
        <f>0.25*0.25</f>
        <v>6.3E-2</v>
      </c>
      <c r="N12" s="374">
        <f>TRUNC(M12*L12,2)</f>
        <v>159.76</v>
      </c>
    </row>
    <row r="13" spans="1:14" ht="15" x14ac:dyDescent="0.2">
      <c r="B13" s="373">
        <f>Pavim.!A12</f>
        <v>2</v>
      </c>
      <c r="C13" s="683" t="str">
        <f>Terrap.!B12</f>
        <v>RUA DOM ARTUR</v>
      </c>
      <c r="D13" s="679">
        <f>'CALC PISO TATIL'!E13</f>
        <v>514.66999999999996</v>
      </c>
      <c r="E13" s="368">
        <f>E12</f>
        <v>4</v>
      </c>
      <c r="F13" s="680">
        <f>D13*E13</f>
        <v>2058.6999999999998</v>
      </c>
      <c r="G13" s="661"/>
      <c r="H13" s="368"/>
      <c r="I13" s="368">
        <v>11</v>
      </c>
      <c r="J13" s="368">
        <f>J12</f>
        <v>37</v>
      </c>
      <c r="K13" s="374">
        <f>J13*I13</f>
        <v>407</v>
      </c>
      <c r="L13" s="682">
        <f>ROUND(K13+F13,0)</f>
        <v>2466</v>
      </c>
      <c r="M13" s="746">
        <f>M12</f>
        <v>6.3E-2</v>
      </c>
      <c r="N13" s="374">
        <f>TRUNC(M13*L13,2)</f>
        <v>155.35</v>
      </c>
    </row>
    <row r="14" spans="1:14" ht="15" x14ac:dyDescent="0.2">
      <c r="B14" s="373">
        <f>Pavim.!A15</f>
        <v>3</v>
      </c>
      <c r="C14" s="683" t="str">
        <f>Terrap.!B15</f>
        <v>RUA TAPAJOS</v>
      </c>
      <c r="D14" s="679">
        <f>'CALC PISO TATIL'!E14</f>
        <v>626.75</v>
      </c>
      <c r="E14" s="368">
        <f>E13</f>
        <v>4</v>
      </c>
      <c r="F14" s="680">
        <f>D14*E14</f>
        <v>2507</v>
      </c>
      <c r="G14" s="661"/>
      <c r="H14" s="368"/>
      <c r="I14" s="368">
        <v>7</v>
      </c>
      <c r="J14" s="368">
        <f>J13</f>
        <v>37</v>
      </c>
      <c r="K14" s="374">
        <f>J14*I14</f>
        <v>259</v>
      </c>
      <c r="L14" s="682">
        <f>ROUND(K14+F14,0)</f>
        <v>2766</v>
      </c>
      <c r="M14" s="746">
        <f>M13</f>
        <v>6.3E-2</v>
      </c>
      <c r="N14" s="374">
        <f>TRUNC(M14*L14,2)</f>
        <v>174.25</v>
      </c>
    </row>
    <row r="15" spans="1:14" ht="15" x14ac:dyDescent="0.2">
      <c r="B15" s="373">
        <f>Pavim.!A16</f>
        <v>4</v>
      </c>
      <c r="C15" s="683">
        <f>Terrap.!B16</f>
        <v>0</v>
      </c>
      <c r="D15" s="679">
        <f>'MF e Sarj.'!E16</f>
        <v>0</v>
      </c>
      <c r="E15" s="368">
        <f>E14</f>
        <v>4</v>
      </c>
      <c r="F15" s="680">
        <f>D15*E15</f>
        <v>0</v>
      </c>
      <c r="G15" s="661"/>
      <c r="H15" s="368"/>
      <c r="I15" s="368">
        <f>H15*G15</f>
        <v>0</v>
      </c>
      <c r="J15" s="368">
        <f>J14</f>
        <v>37</v>
      </c>
      <c r="K15" s="374">
        <f>J15*I15</f>
        <v>0</v>
      </c>
      <c r="L15" s="682">
        <f>ROUND(K15+F15,0)</f>
        <v>0</v>
      </c>
      <c r="M15" s="746">
        <f>M14</f>
        <v>6.3E-2</v>
      </c>
      <c r="N15" s="374">
        <f>TRUNC(M15*L15,2)</f>
        <v>0</v>
      </c>
    </row>
    <row r="16" spans="1:14" ht="15" x14ac:dyDescent="0.2">
      <c r="B16" s="684"/>
      <c r="C16" s="685"/>
      <c r="D16" s="686"/>
      <c r="E16" s="687"/>
      <c r="F16" s="688"/>
      <c r="G16" s="689"/>
      <c r="H16" s="687"/>
      <c r="I16" s="687"/>
      <c r="J16" s="687"/>
      <c r="K16" s="690"/>
      <c r="L16" s="691"/>
      <c r="M16" s="692"/>
      <c r="N16" s="690"/>
    </row>
    <row r="17" spans="2:14" ht="15.75" thickBot="1" x14ac:dyDescent="0.25">
      <c r="B17" s="1175" t="s">
        <v>403</v>
      </c>
      <c r="C17" s="1262"/>
      <c r="D17" s="681">
        <f>SUM(D12:D16)</f>
        <v>1664.42</v>
      </c>
      <c r="E17" s="676"/>
      <c r="F17" s="681">
        <f>SUM(F12:F16)</f>
        <v>6657.7</v>
      </c>
      <c r="G17" s="678"/>
      <c r="H17" s="471"/>
      <c r="I17" s="471"/>
      <c r="J17" s="471"/>
      <c r="K17" s="681">
        <f>SUM(K12:K16)</f>
        <v>1110</v>
      </c>
      <c r="L17" s="681">
        <f>SUM(L12:L16)</f>
        <v>7768</v>
      </c>
      <c r="M17" s="660"/>
      <c r="N17" s="681">
        <f>SUM(N12:N16)</f>
        <v>489.36</v>
      </c>
    </row>
    <row r="23" spans="2:14" x14ac:dyDescent="0.2">
      <c r="C23" s="187" t="str">
        <f>Terrap.!B20</f>
        <v xml:space="preserve">Vinicius Ferreira Fava </v>
      </c>
    </row>
    <row r="24" spans="2:14" x14ac:dyDescent="0.2">
      <c r="C24" s="903" t="str">
        <f>Terrap.!B21</f>
        <v>ENGº CIVIL</v>
      </c>
    </row>
    <row r="25" spans="2:14" x14ac:dyDescent="0.2">
      <c r="C25" s="903" t="str">
        <f>Terrap.!B22</f>
        <v>Crea: 121.286.161-2</v>
      </c>
    </row>
  </sheetData>
  <mergeCells count="20">
    <mergeCell ref="B17:C17"/>
    <mergeCell ref="A7:K7"/>
    <mergeCell ref="B9:B10"/>
    <mergeCell ref="C9:C10"/>
    <mergeCell ref="G9:K9"/>
    <mergeCell ref="D9:F9"/>
    <mergeCell ref="B11:N11"/>
    <mergeCell ref="M9:M10"/>
    <mergeCell ref="N9:N10"/>
    <mergeCell ref="B8:N8"/>
    <mergeCell ref="L9:L10"/>
    <mergeCell ref="A1:N1"/>
    <mergeCell ref="A2:N2"/>
    <mergeCell ref="B4:H4"/>
    <mergeCell ref="B5:D5"/>
    <mergeCell ref="F5:H5"/>
    <mergeCell ref="I3:N6"/>
    <mergeCell ref="B3:H3"/>
    <mergeCell ref="B6:D6"/>
    <mergeCell ref="F6:G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R47"/>
  <sheetViews>
    <sheetView view="pageBreakPreview" topLeftCell="D4" zoomScale="115" zoomScaleSheetLayoutView="115" workbookViewId="0">
      <selection activeCell="R12" sqref="R12"/>
    </sheetView>
  </sheetViews>
  <sheetFormatPr defaultRowHeight="12.75" x14ac:dyDescent="0.2"/>
  <cols>
    <col min="1" max="1" width="11.42578125" style="108" customWidth="1"/>
    <col min="2" max="2" width="31.28515625" style="108" customWidth="1"/>
    <col min="3" max="3" width="18.140625" style="108" customWidth="1"/>
    <col min="4" max="4" width="7.85546875" style="108" customWidth="1"/>
    <col min="5" max="5" width="10.7109375" style="108" customWidth="1"/>
    <col min="6" max="6" width="9.140625" style="108"/>
    <col min="7" max="7" width="10.85546875" style="108" customWidth="1"/>
    <col min="8" max="8" width="10.5703125" style="108" customWidth="1"/>
    <col min="9" max="9" width="13.28515625" style="108" customWidth="1"/>
    <col min="10" max="10" width="14" style="108" customWidth="1"/>
    <col min="11" max="11" width="11.140625" style="108" customWidth="1"/>
    <col min="12" max="12" width="13.140625" style="108" bestFit="1" customWidth="1"/>
    <col min="13" max="13" width="9.140625" style="108"/>
    <col min="14" max="14" width="11.28515625" style="108" bestFit="1" customWidth="1"/>
    <col min="15" max="15" width="9.140625" style="108"/>
    <col min="16" max="16" width="7.7109375" style="108" bestFit="1" customWidth="1"/>
    <col min="17" max="16384" width="9.140625" style="108"/>
  </cols>
  <sheetData>
    <row r="1" spans="1:18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8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8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20" t="str">
        <f>Terrap.!I3</f>
        <v>SINAPI - MARÇO / 2020                                                                                                                               ANP - NOV/2019 (desonerado) SICRO OUT/2019</v>
      </c>
      <c r="J3" s="1021"/>
    </row>
    <row r="4" spans="1:18" ht="15" customHeight="1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20"/>
      <c r="J4" s="1021"/>
    </row>
    <row r="5" spans="1:18" ht="15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018"/>
      <c r="I5" s="1020"/>
      <c r="J5" s="1021"/>
    </row>
    <row r="6" spans="1:18" ht="15.75" thickBot="1" x14ac:dyDescent="0.25">
      <c r="A6" s="386" t="s">
        <v>59</v>
      </c>
      <c r="B6" s="1019">
        <f>Pavim.!B6</f>
        <v>7896.8</v>
      </c>
      <c r="C6" s="1019"/>
      <c r="D6" s="1019"/>
      <c r="E6" s="387" t="s">
        <v>60</v>
      </c>
      <c r="F6" s="1163">
        <f>Terrap.!F6</f>
        <v>0.26740000000000003</v>
      </c>
      <c r="G6" s="1163"/>
      <c r="H6" s="387" t="s">
        <v>61</v>
      </c>
      <c r="I6" s="1022"/>
      <c r="J6" s="1023"/>
    </row>
    <row r="7" spans="1:18" ht="32.25" customHeight="1" thickBot="1" x14ac:dyDescent="0.25">
      <c r="A7" s="1273" t="s">
        <v>105</v>
      </c>
      <c r="B7" s="1274"/>
      <c r="C7" s="1274"/>
      <c r="D7" s="1274"/>
      <c r="E7" s="1274"/>
      <c r="F7" s="1274"/>
      <c r="G7" s="1274"/>
      <c r="H7" s="1274"/>
      <c r="I7" s="1274"/>
      <c r="J7" s="1275"/>
      <c r="L7" s="992"/>
      <c r="M7" s="992" t="s">
        <v>721</v>
      </c>
      <c r="N7" s="992" t="s">
        <v>722</v>
      </c>
      <c r="O7" s="992" t="s">
        <v>723</v>
      </c>
      <c r="P7" s="992" t="s">
        <v>726</v>
      </c>
    </row>
    <row r="8" spans="1:18" ht="15.75" thickBot="1" x14ac:dyDescent="0.25">
      <c r="A8" s="109" t="s">
        <v>106</v>
      </c>
      <c r="B8" s="110"/>
      <c r="C8" s="110"/>
      <c r="D8" s="110"/>
      <c r="E8" s="110"/>
      <c r="F8" s="110"/>
      <c r="G8" s="110"/>
      <c r="H8" s="110"/>
      <c r="I8" s="110"/>
      <c r="J8" s="111"/>
      <c r="K8" s="112"/>
      <c r="L8" s="992" t="s">
        <v>724</v>
      </c>
      <c r="M8" s="993">
        <v>1</v>
      </c>
      <c r="N8" s="992"/>
      <c r="O8" s="992">
        <v>2</v>
      </c>
      <c r="P8" s="992">
        <f>D9</f>
        <v>0.21</v>
      </c>
    </row>
    <row r="9" spans="1:18" ht="15" x14ac:dyDescent="0.2">
      <c r="A9" s="113" t="s">
        <v>23</v>
      </c>
      <c r="B9" s="114" t="s">
        <v>215</v>
      </c>
      <c r="C9" s="115" t="s">
        <v>107</v>
      </c>
      <c r="D9" s="115">
        <v>0.21</v>
      </c>
      <c r="E9" s="24" t="s">
        <v>108</v>
      </c>
      <c r="F9" s="116">
        <v>3</v>
      </c>
      <c r="G9" s="115" t="s">
        <v>109</v>
      </c>
      <c r="H9" s="117" t="s">
        <v>110</v>
      </c>
      <c r="I9" s="118">
        <f>D9*F9</f>
        <v>0.63</v>
      </c>
      <c r="J9" s="106" t="s">
        <v>6</v>
      </c>
      <c r="K9" s="112"/>
      <c r="L9" s="992" t="s">
        <v>725</v>
      </c>
      <c r="M9" s="993">
        <v>3</v>
      </c>
      <c r="N9" s="992">
        <v>4</v>
      </c>
      <c r="O9" s="992">
        <v>5</v>
      </c>
      <c r="P9" s="992">
        <f>D11</f>
        <v>0.25</v>
      </c>
      <c r="R9" s="108">
        <f>M9+N9+O9</f>
        <v>12</v>
      </c>
    </row>
    <row r="10" spans="1:18" ht="15" x14ac:dyDescent="0.2">
      <c r="A10" s="119"/>
      <c r="B10" s="120"/>
      <c r="C10" s="121" t="s">
        <v>216</v>
      </c>
      <c r="D10" s="121"/>
      <c r="E10" s="122"/>
      <c r="F10" s="123"/>
      <c r="G10" s="124"/>
      <c r="H10" s="125"/>
      <c r="I10" s="126"/>
      <c r="J10" s="102"/>
      <c r="K10" s="112"/>
      <c r="L10" s="1003" t="s">
        <v>52</v>
      </c>
      <c r="M10" s="1004">
        <v>3</v>
      </c>
      <c r="N10" s="1003">
        <v>5</v>
      </c>
      <c r="O10" s="1003">
        <v>5</v>
      </c>
      <c r="P10" s="1003">
        <f>SUM(M10:O10)</f>
        <v>13</v>
      </c>
    </row>
    <row r="11" spans="1:18" ht="15" x14ac:dyDescent="0.2">
      <c r="A11" s="113" t="s">
        <v>44</v>
      </c>
      <c r="B11" s="114" t="s">
        <v>112</v>
      </c>
      <c r="C11" s="115" t="s">
        <v>107</v>
      </c>
      <c r="D11" s="115">
        <f>0.5*0.5</f>
        <v>0.25</v>
      </c>
      <c r="E11" s="24" t="s">
        <v>108</v>
      </c>
      <c r="F11" s="116">
        <v>12</v>
      </c>
      <c r="G11" s="115" t="s">
        <v>109</v>
      </c>
      <c r="H11" s="117" t="s">
        <v>110</v>
      </c>
      <c r="I11" s="118">
        <f>D11*F11</f>
        <v>3</v>
      </c>
      <c r="J11" s="106" t="s">
        <v>6</v>
      </c>
      <c r="L11" s="589"/>
      <c r="M11" s="589">
        <f>SUM(M8:M10)</f>
        <v>7</v>
      </c>
      <c r="N11" s="589">
        <f t="shared" ref="N11:O11" si="0">SUM(N8:N10)</f>
        <v>9</v>
      </c>
      <c r="O11" s="589">
        <f t="shared" si="0"/>
        <v>12</v>
      </c>
      <c r="P11" s="1003">
        <f>SUM(M11:O11)</f>
        <v>28</v>
      </c>
    </row>
    <row r="12" spans="1:18" ht="15" x14ac:dyDescent="0.2">
      <c r="A12" s="119"/>
      <c r="B12" s="120"/>
      <c r="C12" s="121" t="s">
        <v>113</v>
      </c>
      <c r="D12" s="124"/>
      <c r="E12" s="122"/>
      <c r="F12" s="123"/>
      <c r="G12" s="124"/>
      <c r="H12" s="125"/>
      <c r="I12" s="126"/>
      <c r="J12" s="102"/>
    </row>
    <row r="13" spans="1:18" ht="15" x14ac:dyDescent="0.2">
      <c r="A13" s="113" t="s">
        <v>45</v>
      </c>
      <c r="B13" s="114" t="s">
        <v>146</v>
      </c>
      <c r="C13" s="115" t="s">
        <v>107</v>
      </c>
      <c r="D13" s="127">
        <f>0.45*0.25</f>
        <v>0.11</v>
      </c>
      <c r="E13" s="24" t="s">
        <v>108</v>
      </c>
      <c r="F13" s="116">
        <v>13</v>
      </c>
      <c r="G13" s="115" t="s">
        <v>109</v>
      </c>
      <c r="H13" s="117" t="s">
        <v>110</v>
      </c>
      <c r="I13" s="118">
        <f>D13*F13</f>
        <v>1.43</v>
      </c>
      <c r="J13" s="106" t="s">
        <v>6</v>
      </c>
      <c r="L13" s="992"/>
      <c r="M13" s="992" t="s">
        <v>721</v>
      </c>
      <c r="N13" s="992" t="s">
        <v>722</v>
      </c>
      <c r="O13" s="992" t="s">
        <v>723</v>
      </c>
      <c r="P13" s="992" t="s">
        <v>726</v>
      </c>
    </row>
    <row r="14" spans="1:18" ht="15" x14ac:dyDescent="0.2">
      <c r="A14" s="119"/>
      <c r="B14" s="124"/>
      <c r="C14" s="128" t="s">
        <v>574</v>
      </c>
      <c r="D14" s="124"/>
      <c r="E14" s="122"/>
      <c r="F14" s="124"/>
      <c r="G14" s="124"/>
      <c r="H14" s="125"/>
      <c r="I14" s="1"/>
      <c r="J14" s="103"/>
      <c r="L14" s="992" t="s">
        <v>724</v>
      </c>
      <c r="M14" s="993">
        <f>M8*P8</f>
        <v>0.21</v>
      </c>
      <c r="N14" s="992">
        <f>N8*P8</f>
        <v>0</v>
      </c>
      <c r="O14" s="992">
        <f>O8*P8</f>
        <v>0.42</v>
      </c>
      <c r="P14" s="992"/>
    </row>
    <row r="15" spans="1:18" ht="15" x14ac:dyDescent="0.2">
      <c r="A15" s="129"/>
      <c r="B15" s="130"/>
      <c r="C15" s="130"/>
      <c r="D15" s="130"/>
      <c r="E15" s="131"/>
      <c r="F15" s="130" t="s">
        <v>13</v>
      </c>
      <c r="G15" s="130"/>
      <c r="H15" s="132"/>
      <c r="I15" s="133">
        <f>SUM(I9:I14)</f>
        <v>5.0599999999999996</v>
      </c>
      <c r="J15" s="107" t="s">
        <v>6</v>
      </c>
      <c r="L15" s="992" t="s">
        <v>725</v>
      </c>
      <c r="M15" s="993">
        <f>M9*P9</f>
        <v>0.75</v>
      </c>
      <c r="N15" s="992">
        <f>N9*P9</f>
        <v>1</v>
      </c>
      <c r="O15" s="992">
        <f>O9*P9</f>
        <v>1.25</v>
      </c>
      <c r="P15" s="992"/>
    </row>
    <row r="16" spans="1:18" ht="13.5" thickBot="1" x14ac:dyDescent="0.25">
      <c r="A16" s="1276"/>
      <c r="B16" s="1277"/>
      <c r="C16" s="1277"/>
      <c r="D16" s="1277"/>
      <c r="E16" s="1277"/>
      <c r="F16" s="1277"/>
      <c r="G16" s="1277"/>
      <c r="H16" s="1277"/>
      <c r="I16" s="1278"/>
      <c r="J16" s="1279"/>
      <c r="K16" s="134"/>
      <c r="M16" s="589">
        <f>SUM(M14:M15)</f>
        <v>0.96</v>
      </c>
      <c r="N16" s="589">
        <f t="shared" ref="N16:O16" si="1">SUM(N14:N15)</f>
        <v>1</v>
      </c>
      <c r="O16" s="589">
        <f t="shared" si="1"/>
        <v>1.67</v>
      </c>
      <c r="P16" s="108">
        <f>SUM(M16:O16)</f>
        <v>3.63</v>
      </c>
    </row>
    <row r="17" spans="1:15" ht="15.75" thickBot="1" x14ac:dyDescent="0.25">
      <c r="A17" s="109" t="s">
        <v>114</v>
      </c>
      <c r="B17" s="110"/>
      <c r="C17" s="110"/>
      <c r="D17" s="110"/>
      <c r="E17" s="110"/>
      <c r="F17" s="110"/>
      <c r="G17" s="135"/>
      <c r="H17" s="135"/>
      <c r="I17" s="135"/>
      <c r="J17" s="136"/>
      <c r="K17" s="134"/>
    </row>
    <row r="18" spans="1:15" x14ac:dyDescent="0.2">
      <c r="A18" s="137" t="s">
        <v>24</v>
      </c>
      <c r="B18" s="1" t="s">
        <v>115</v>
      </c>
      <c r="C18" s="1"/>
      <c r="D18" s="1"/>
      <c r="E18" s="138" t="s">
        <v>110</v>
      </c>
      <c r="F18" s="139">
        <f>F11+F9</f>
        <v>15</v>
      </c>
      <c r="G18" s="1" t="s">
        <v>109</v>
      </c>
      <c r="H18" s="1"/>
      <c r="I18" s="1"/>
      <c r="J18" s="2"/>
    </row>
    <row r="19" spans="1:15" x14ac:dyDescent="0.2">
      <c r="A19" s="137"/>
      <c r="B19" s="1"/>
      <c r="C19" s="1"/>
      <c r="D19" s="1"/>
      <c r="E19" s="291"/>
      <c r="F19" s="1"/>
      <c r="G19" s="1"/>
      <c r="H19" s="1"/>
      <c r="I19" s="1"/>
      <c r="J19" s="2"/>
    </row>
    <row r="20" spans="1:15" x14ac:dyDescent="0.2">
      <c r="A20" s="119" t="s">
        <v>32</v>
      </c>
      <c r="B20" s="120" t="s">
        <v>116</v>
      </c>
      <c r="C20" s="124"/>
      <c r="D20" s="124"/>
      <c r="E20" s="125" t="s">
        <v>110</v>
      </c>
      <c r="F20" s="140">
        <f>F13</f>
        <v>13</v>
      </c>
      <c r="G20" s="124" t="s">
        <v>109</v>
      </c>
      <c r="H20" s="124"/>
      <c r="I20" s="124"/>
      <c r="J20" s="141"/>
    </row>
    <row r="21" spans="1:15" ht="13.5" thickBot="1" x14ac:dyDescent="0.25">
      <c r="A21" s="137"/>
      <c r="B21" s="25"/>
      <c r="C21" s="1"/>
      <c r="D21" s="1"/>
      <c r="E21" s="138"/>
      <c r="F21" s="139"/>
      <c r="G21" s="1"/>
      <c r="H21" s="1"/>
      <c r="I21" s="1"/>
      <c r="J21" s="2"/>
    </row>
    <row r="22" spans="1:15" ht="15" x14ac:dyDescent="0.2">
      <c r="A22" s="142" t="s">
        <v>117</v>
      </c>
      <c r="B22" s="143"/>
      <c r="C22" s="143"/>
      <c r="D22" s="143"/>
      <c r="E22" s="144"/>
      <c r="F22" s="143"/>
      <c r="G22" s="143"/>
      <c r="H22" s="143"/>
      <c r="I22" s="143"/>
      <c r="J22" s="145"/>
    </row>
    <row r="23" spans="1:15" x14ac:dyDescent="0.2">
      <c r="A23" s="146" t="s">
        <v>25</v>
      </c>
      <c r="B23" s="147" t="s">
        <v>118</v>
      </c>
      <c r="C23" s="147"/>
      <c r="D23" s="147" t="s">
        <v>119</v>
      </c>
      <c r="E23" s="147" t="s">
        <v>120</v>
      </c>
      <c r="F23" s="147" t="s">
        <v>121</v>
      </c>
      <c r="G23" s="147"/>
      <c r="H23" s="147"/>
      <c r="I23" s="148" t="s">
        <v>122</v>
      </c>
      <c r="J23" s="149"/>
    </row>
    <row r="24" spans="1:15" ht="15" x14ac:dyDescent="0.2">
      <c r="A24" s="150" t="s">
        <v>38</v>
      </c>
      <c r="B24" s="151"/>
      <c r="C24" s="152"/>
      <c r="D24" s="22">
        <v>0.12</v>
      </c>
      <c r="E24" s="23">
        <v>2</v>
      </c>
      <c r="F24" s="153">
        <v>320</v>
      </c>
      <c r="G24" s="151"/>
      <c r="H24" s="151"/>
      <c r="I24" s="154">
        <f>D24*E24*F24</f>
        <v>76.8</v>
      </c>
      <c r="J24" s="101" t="s">
        <v>6</v>
      </c>
    </row>
    <row r="25" spans="1:15" x14ac:dyDescent="0.2">
      <c r="A25" s="155" t="s">
        <v>26</v>
      </c>
      <c r="B25" s="115" t="s">
        <v>220</v>
      </c>
      <c r="C25" s="115"/>
      <c r="D25" s="115"/>
      <c r="E25" s="115" t="s">
        <v>219</v>
      </c>
      <c r="F25" s="115" t="s">
        <v>121</v>
      </c>
      <c r="G25" s="115"/>
      <c r="H25" s="115"/>
      <c r="I25" s="156" t="s">
        <v>122</v>
      </c>
      <c r="J25" s="106"/>
    </row>
    <row r="26" spans="1:15" ht="15" x14ac:dyDescent="0.2">
      <c r="A26" s="157" t="s">
        <v>149</v>
      </c>
      <c r="B26" s="124"/>
      <c r="C26" s="158"/>
      <c r="D26" s="124"/>
      <c r="E26" s="122">
        <v>4.12</v>
      </c>
      <c r="F26" s="159">
        <f>F9</f>
        <v>3</v>
      </c>
      <c r="G26" s="159"/>
      <c r="H26" s="159"/>
      <c r="I26" s="160">
        <f>E26*F26</f>
        <v>12.36</v>
      </c>
      <c r="J26" s="102" t="s">
        <v>6</v>
      </c>
    </row>
    <row r="27" spans="1:15" x14ac:dyDescent="0.2">
      <c r="A27" s="155" t="s">
        <v>27</v>
      </c>
      <c r="B27" s="115" t="s">
        <v>123</v>
      </c>
      <c r="C27" s="115"/>
      <c r="D27" s="115"/>
      <c r="E27" s="115" t="s">
        <v>124</v>
      </c>
      <c r="F27" s="115" t="s">
        <v>119</v>
      </c>
      <c r="G27" s="115" t="s">
        <v>121</v>
      </c>
      <c r="H27" s="115" t="s">
        <v>125</v>
      </c>
      <c r="I27" s="114" t="s">
        <v>122</v>
      </c>
      <c r="J27" s="106"/>
    </row>
    <row r="28" spans="1:15" ht="15" x14ac:dyDescent="0.2">
      <c r="A28" s="157" t="s">
        <v>39</v>
      </c>
      <c r="B28" s="124"/>
      <c r="C28" s="158"/>
      <c r="D28" s="124"/>
      <c r="E28" s="159">
        <v>4</v>
      </c>
      <c r="F28" s="161">
        <v>0.4</v>
      </c>
      <c r="G28" s="159">
        <v>8</v>
      </c>
      <c r="H28" s="159">
        <f>F11</f>
        <v>12</v>
      </c>
      <c r="I28" s="162">
        <f>E28*F28*G28*H28</f>
        <v>153.6</v>
      </c>
      <c r="J28" s="102" t="s">
        <v>6</v>
      </c>
    </row>
    <row r="29" spans="1:15" x14ac:dyDescent="0.2">
      <c r="A29" s="155" t="s">
        <v>29</v>
      </c>
      <c r="B29" s="115" t="s">
        <v>217</v>
      </c>
      <c r="C29" s="115"/>
      <c r="D29" s="115"/>
      <c r="E29" s="115" t="s">
        <v>124</v>
      </c>
      <c r="F29" s="115" t="s">
        <v>119</v>
      </c>
      <c r="G29" s="115" t="s">
        <v>121</v>
      </c>
      <c r="H29" s="115"/>
      <c r="I29" s="156" t="s">
        <v>122</v>
      </c>
      <c r="J29" s="106"/>
    </row>
    <row r="30" spans="1:15" ht="15" x14ac:dyDescent="0.2">
      <c r="A30" s="157" t="s">
        <v>41</v>
      </c>
      <c r="B30" s="124"/>
      <c r="C30" s="158"/>
      <c r="D30" s="124"/>
      <c r="E30" s="159">
        <v>4.2</v>
      </c>
      <c r="F30" s="161">
        <v>0.4</v>
      </c>
      <c r="G30" s="159">
        <f>F9</f>
        <v>3</v>
      </c>
      <c r="H30" s="159"/>
      <c r="I30" s="160">
        <f>E30*F30*G30</f>
        <v>5.04</v>
      </c>
      <c r="J30" s="102" t="s">
        <v>6</v>
      </c>
      <c r="O30" s="108">
        <v>14.45</v>
      </c>
    </row>
    <row r="31" spans="1:15" x14ac:dyDescent="0.2">
      <c r="A31" s="155" t="s">
        <v>47</v>
      </c>
      <c r="B31" s="115" t="s">
        <v>218</v>
      </c>
      <c r="C31" s="115"/>
      <c r="D31" s="115"/>
      <c r="E31" s="115" t="s">
        <v>124</v>
      </c>
      <c r="F31" s="115" t="s">
        <v>119</v>
      </c>
      <c r="G31" s="115" t="s">
        <v>121</v>
      </c>
      <c r="H31" s="115"/>
      <c r="I31" s="156" t="s">
        <v>122</v>
      </c>
      <c r="J31" s="106"/>
    </row>
    <row r="32" spans="1:15" ht="15" x14ac:dyDescent="0.2">
      <c r="A32" s="163" t="s">
        <v>222</v>
      </c>
      <c r="B32" s="1"/>
      <c r="C32" s="164"/>
      <c r="D32" s="1"/>
      <c r="E32" s="165">
        <v>20</v>
      </c>
      <c r="F32" s="166">
        <v>0.12</v>
      </c>
      <c r="G32" s="165">
        <f>F9</f>
        <v>3</v>
      </c>
      <c r="H32" s="165"/>
      <c r="I32" s="167">
        <f>E32*F32*G32</f>
        <v>7.2</v>
      </c>
      <c r="J32" s="103" t="s">
        <v>6</v>
      </c>
    </row>
    <row r="33" spans="1:17" ht="15" x14ac:dyDescent="0.2">
      <c r="A33" s="168" t="s">
        <v>175</v>
      </c>
      <c r="B33" s="115" t="s">
        <v>126</v>
      </c>
      <c r="C33" s="24"/>
      <c r="D33" s="24"/>
      <c r="E33" s="114" t="s">
        <v>127</v>
      </c>
      <c r="F33" s="114" t="s">
        <v>119</v>
      </c>
      <c r="G33" s="114"/>
      <c r="H33" s="115"/>
      <c r="I33" s="156" t="s">
        <v>122</v>
      </c>
      <c r="J33" s="169"/>
    </row>
    <row r="34" spans="1:17" ht="15" x14ac:dyDescent="0.2">
      <c r="A34" s="157" t="s">
        <v>223</v>
      </c>
      <c r="B34" s="124" t="s">
        <v>147</v>
      </c>
      <c r="C34" s="170"/>
      <c r="D34" s="171"/>
      <c r="E34" s="171">
        <f>'MF e Sarj.'!C19</f>
        <v>1807.11</v>
      </c>
      <c r="F34" s="124">
        <v>0.12</v>
      </c>
      <c r="G34" s="162"/>
      <c r="H34" s="124"/>
      <c r="I34" s="160">
        <f>F34*E34</f>
        <v>216.85</v>
      </c>
      <c r="J34" s="104" t="s">
        <v>6</v>
      </c>
      <c r="K34" s="1270"/>
      <c r="L34" s="1270"/>
    </row>
    <row r="35" spans="1:17" ht="15.75" thickBot="1" x14ac:dyDescent="0.25">
      <c r="A35" s="172"/>
      <c r="B35" s="3"/>
      <c r="C35" s="173"/>
      <c r="D35" s="3"/>
      <c r="E35" s="174"/>
      <c r="F35" s="175" t="s">
        <v>128</v>
      </c>
      <c r="G35" s="176"/>
      <c r="H35" s="176"/>
      <c r="I35" s="177">
        <f>I34+I28+I24+I32+I30+I26</f>
        <v>471.85</v>
      </c>
      <c r="J35" s="105" t="s">
        <v>6</v>
      </c>
      <c r="L35" s="1002">
        <f>'MF e Sarj.'!E11</f>
        <v>605.39</v>
      </c>
      <c r="M35" s="1002">
        <f>ROUND(L35,2)</f>
        <v>605.39</v>
      </c>
      <c r="N35" s="453">
        <f>L35/$E$34</f>
        <v>0.34</v>
      </c>
      <c r="O35" s="108">
        <f>ROUND(N35*$I$35,2)</f>
        <v>160.43</v>
      </c>
      <c r="P35" s="453">
        <v>160.41999999999999</v>
      </c>
      <c r="Q35" s="108">
        <f>ROUND(O35*$O$30,2)</f>
        <v>2318.21</v>
      </c>
    </row>
    <row r="36" spans="1:17" ht="13.5" thickBot="1" x14ac:dyDescent="0.25">
      <c r="A36" s="1282"/>
      <c r="B36" s="1283"/>
      <c r="C36" s="1283"/>
      <c r="D36" s="1283"/>
      <c r="E36" s="1283"/>
      <c r="F36" s="1283"/>
      <c r="G36" s="1283"/>
      <c r="H36" s="1283"/>
      <c r="I36" s="1283"/>
      <c r="J36" s="1284"/>
      <c r="L36" s="1002">
        <f>'MF e Sarj.'!E12</f>
        <v>561.05999999999995</v>
      </c>
      <c r="M36" s="1002">
        <f t="shared" ref="M36:M37" si="2">ROUND(L36,2)</f>
        <v>561.05999999999995</v>
      </c>
      <c r="N36" s="453">
        <f t="shared" ref="N36:N37" si="3">L36/$E$34</f>
        <v>0.31</v>
      </c>
      <c r="O36" s="108">
        <f t="shared" ref="O36:O37" si="4">ROUND(N36*$I$35,2)</f>
        <v>146.27000000000001</v>
      </c>
      <c r="P36" s="108">
        <v>146.27000000000001</v>
      </c>
      <c r="Q36" s="108">
        <f t="shared" ref="Q36:Q37" si="5">ROUND(O36*$O$30,2)</f>
        <v>2113.6</v>
      </c>
    </row>
    <row r="37" spans="1:17" ht="21" x14ac:dyDescent="0.2">
      <c r="A37" s="1285" t="s">
        <v>129</v>
      </c>
      <c r="B37" s="1286"/>
      <c r="C37" s="1286"/>
      <c r="D37" s="1286"/>
      <c r="E37" s="1286"/>
      <c r="F37" s="1286"/>
      <c r="G37" s="1286"/>
      <c r="H37" s="1286"/>
      <c r="I37" s="1286"/>
      <c r="J37" s="1287"/>
      <c r="L37" s="1002">
        <f>'MF e Sarj.'!E15</f>
        <v>640.66</v>
      </c>
      <c r="M37" s="1002">
        <f t="shared" si="2"/>
        <v>640.66</v>
      </c>
      <c r="N37" s="453">
        <f t="shared" si="3"/>
        <v>0.35</v>
      </c>
      <c r="O37" s="108">
        <f t="shared" si="4"/>
        <v>165.15</v>
      </c>
      <c r="Q37" s="108">
        <f t="shared" si="5"/>
        <v>2386.42</v>
      </c>
    </row>
    <row r="38" spans="1:17" ht="15" customHeight="1" x14ac:dyDescent="0.2">
      <c r="A38" s="1271" t="s">
        <v>571</v>
      </c>
      <c r="B38" s="1272"/>
      <c r="C38" s="1272"/>
      <c r="D38" s="1272"/>
      <c r="E38" s="1272"/>
      <c r="F38" s="1272"/>
      <c r="G38" s="1272"/>
      <c r="H38" s="178"/>
      <c r="I38" s="179">
        <f>F13</f>
        <v>13</v>
      </c>
      <c r="J38" s="180" t="s">
        <v>49</v>
      </c>
      <c r="K38" s="181"/>
      <c r="N38" s="453">
        <f>SUM(N35:N37)</f>
        <v>1</v>
      </c>
      <c r="O38" s="108">
        <f>SUM(O35:O37)</f>
        <v>471.85</v>
      </c>
      <c r="P38" s="453">
        <f>SUM(N38:O38)</f>
        <v>472.85</v>
      </c>
      <c r="Q38" s="108">
        <f>SUM(Q35:Q37)</f>
        <v>6818.23</v>
      </c>
    </row>
    <row r="39" spans="1:17" ht="15" customHeight="1" x14ac:dyDescent="0.2">
      <c r="A39" s="1271" t="s">
        <v>570</v>
      </c>
      <c r="B39" s="1272"/>
      <c r="C39" s="1272"/>
      <c r="D39" s="1272"/>
      <c r="E39" s="1272"/>
      <c r="F39" s="1272"/>
      <c r="G39" s="1272"/>
      <c r="H39" s="178"/>
      <c r="I39" s="179">
        <f>I9+I11</f>
        <v>3.63</v>
      </c>
      <c r="J39" s="180" t="s">
        <v>35</v>
      </c>
      <c r="K39" s="181"/>
    </row>
    <row r="40" spans="1:17" ht="15" customHeight="1" x14ac:dyDescent="0.2">
      <c r="A40" s="1271" t="s">
        <v>572</v>
      </c>
      <c r="B40" s="1272"/>
      <c r="C40" s="1272"/>
      <c r="D40" s="1272"/>
      <c r="E40" s="1272"/>
      <c r="F40" s="1272"/>
      <c r="G40" s="1272"/>
      <c r="H40" s="178"/>
      <c r="I40" s="182">
        <f>F18+F20</f>
        <v>28</v>
      </c>
      <c r="J40" s="180" t="s">
        <v>49</v>
      </c>
      <c r="K40" s="183"/>
    </row>
    <row r="41" spans="1:17" ht="15" customHeight="1" thickBot="1" x14ac:dyDescent="0.25">
      <c r="A41" s="1280" t="s">
        <v>573</v>
      </c>
      <c r="B41" s="1281"/>
      <c r="C41" s="1281"/>
      <c r="D41" s="1281"/>
      <c r="E41" s="1281"/>
      <c r="F41" s="1281"/>
      <c r="G41" s="1281"/>
      <c r="H41" s="184"/>
      <c r="I41" s="185">
        <f>I35</f>
        <v>471.85</v>
      </c>
      <c r="J41" s="186" t="s">
        <v>35</v>
      </c>
      <c r="K41" s="183"/>
    </row>
    <row r="42" spans="1:17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7" x14ac:dyDescent="0.2">
      <c r="A43" s="134"/>
      <c r="B43" s="134"/>
      <c r="C43" s="134"/>
      <c r="D43" s="134"/>
      <c r="E43" s="134"/>
      <c r="F43" s="134"/>
      <c r="G43" s="134"/>
      <c r="H43" s="134"/>
      <c r="I43" s="134"/>
      <c r="J43" s="134"/>
    </row>
    <row r="45" spans="1:17" x14ac:dyDescent="0.2">
      <c r="B45" s="187" t="str">
        <f>Terrap.!B20</f>
        <v xml:space="preserve">Vinicius Ferreira Fava </v>
      </c>
    </row>
    <row r="46" spans="1:17" x14ac:dyDescent="0.2">
      <c r="B46" s="919" t="str">
        <f>Terrap.!B21</f>
        <v>ENGº CIVIL</v>
      </c>
    </row>
    <row r="47" spans="1:17" x14ac:dyDescent="0.2">
      <c r="B47" s="919" t="str">
        <f>Terrap.!B22</f>
        <v>Crea: 121.286.161-2</v>
      </c>
    </row>
  </sheetData>
  <mergeCells count="18">
    <mergeCell ref="A1:J1"/>
    <mergeCell ref="A2:J2"/>
    <mergeCell ref="A41:G41"/>
    <mergeCell ref="A36:J36"/>
    <mergeCell ref="A37:J37"/>
    <mergeCell ref="A38:G38"/>
    <mergeCell ref="B6:D6"/>
    <mergeCell ref="F6:G6"/>
    <mergeCell ref="B3:H3"/>
    <mergeCell ref="I3:J6"/>
    <mergeCell ref="B4:H4"/>
    <mergeCell ref="B5:D5"/>
    <mergeCell ref="F5:H5"/>
    <mergeCell ref="K34:L34"/>
    <mergeCell ref="A40:G40"/>
    <mergeCell ref="A39:G39"/>
    <mergeCell ref="A7:J7"/>
    <mergeCell ref="A16:J16"/>
  </mergeCells>
  <pageMargins left="0.39370078740157483" right="0.39370078740157483" top="0.39370078740157483" bottom="0.39370078740157483" header="0.31496062992125984" footer="0.31496062992125984"/>
  <pageSetup paperSize="9" scale="7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4"/>
  <sheetViews>
    <sheetView view="pageBreakPreview" topLeftCell="A32" zoomScale="90" zoomScaleNormal="85" zoomScaleSheetLayoutView="90" workbookViewId="0">
      <selection activeCell="J18" sqref="J18"/>
    </sheetView>
  </sheetViews>
  <sheetFormatPr defaultRowHeight="12.75" x14ac:dyDescent="0.2"/>
  <cols>
    <col min="1" max="1" width="10.7109375" style="108" customWidth="1"/>
    <col min="2" max="2" width="66.7109375" style="108" customWidth="1"/>
    <col min="3" max="3" width="15.140625" style="108" bestFit="1" customWidth="1"/>
    <col min="4" max="4" width="30.7109375" style="230" customWidth="1"/>
    <col min="5" max="5" width="14.140625" style="251" customWidth="1"/>
    <col min="6" max="6" width="13.42578125" style="108" bestFit="1" customWidth="1"/>
    <col min="7" max="7" width="19.5703125" style="108" bestFit="1" customWidth="1"/>
    <col min="8" max="8" width="9.28515625" style="108" bestFit="1" customWidth="1"/>
    <col min="9" max="9" width="13.5703125" style="108" customWidth="1"/>
    <col min="10" max="10" width="15.140625" style="108" bestFit="1" customWidth="1"/>
    <col min="11" max="11" width="10.5703125" style="108" bestFit="1" customWidth="1"/>
    <col min="12" max="16384" width="9.140625" style="108"/>
  </cols>
  <sheetData>
    <row r="1" spans="1:16" s="244" customFormat="1" ht="18.75" x14ac:dyDescent="0.2">
      <c r="A1" s="1288" t="str">
        <f>Terrap.!A1</f>
        <v>ESTADO DE MATO GROSSO</v>
      </c>
      <c r="B1" s="1289"/>
      <c r="C1" s="1289"/>
      <c r="D1" s="1289"/>
      <c r="E1" s="1290"/>
      <c r="F1" s="20"/>
      <c r="G1" s="20"/>
      <c r="H1" s="20"/>
      <c r="I1" s="20"/>
      <c r="J1" s="20"/>
      <c r="K1" s="20"/>
    </row>
    <row r="2" spans="1:16" s="244" customFormat="1" ht="18.75" x14ac:dyDescent="0.2">
      <c r="A2" s="1291" t="str">
        <f>Terrap.!A2</f>
        <v xml:space="preserve">PREFEITURA MUNICIPAL DE BARRA DO BUGRES </v>
      </c>
      <c r="B2" s="1292"/>
      <c r="C2" s="1292"/>
      <c r="D2" s="1292"/>
      <c r="E2" s="1293"/>
      <c r="F2" s="21"/>
      <c r="G2" s="21"/>
      <c r="H2" s="21"/>
      <c r="I2" s="21"/>
      <c r="J2" s="21"/>
      <c r="K2" s="21"/>
      <c r="L2" s="231"/>
      <c r="M2" s="231"/>
      <c r="N2" s="231"/>
      <c r="O2" s="231"/>
    </row>
    <row r="3" spans="1:16" s="244" customFormat="1" ht="20.25" customHeight="1" x14ac:dyDescent="0.2">
      <c r="A3" s="410" t="s">
        <v>8</v>
      </c>
      <c r="B3" s="408" t="str">
        <f>Terrap.!B3</f>
        <v>PAVIMENTAÇÃO ASFALTICA E DRENAGEM DE AGUAS PLUVIAIS</v>
      </c>
      <c r="C3" s="408"/>
      <c r="D3" s="460" t="str">
        <f>Terrap.!H6</f>
        <v>TABELA:</v>
      </c>
      <c r="E3" s="255" t="str">
        <f>Terrap.!E6</f>
        <v>BDI:</v>
      </c>
      <c r="F3" s="5"/>
      <c r="G3" s="5"/>
      <c r="H3" s="5"/>
      <c r="I3" s="5"/>
      <c r="J3" s="5"/>
      <c r="K3" s="17"/>
      <c r="L3" s="7"/>
      <c r="M3" s="7"/>
      <c r="N3" s="7"/>
      <c r="O3" s="7"/>
    </row>
    <row r="4" spans="1:16" s="244" customFormat="1" ht="20.25" customHeight="1" x14ac:dyDescent="0.2">
      <c r="A4" s="410" t="s">
        <v>22</v>
      </c>
      <c r="B4" s="408" t="str">
        <f>Terrap.!B4</f>
        <v>DIVERSAS RUAS - PERIMETRO URBANO</v>
      </c>
      <c r="C4" s="460" t="s">
        <v>370</v>
      </c>
      <c r="D4" s="1020" t="str">
        <f>Terrap.!I3</f>
        <v>SINAPI - MARÇO / 2020                                                                                                                               ANP - NOV/2019 (desonerado) SICRO OUT/2019</v>
      </c>
      <c r="E4" s="1300">
        <f>Terrap.!F6</f>
        <v>0.26740000000000003</v>
      </c>
      <c r="F4" s="5"/>
      <c r="G4" s="1298"/>
      <c r="H4" s="1298"/>
      <c r="I4" s="1299"/>
      <c r="J4" s="1299"/>
      <c r="K4" s="18"/>
      <c r="L4" s="7"/>
      <c r="M4" s="1294"/>
      <c r="N4" s="1294"/>
      <c r="O4" s="1294"/>
      <c r="P4" s="1294"/>
    </row>
    <row r="5" spans="1:16" s="244" customFormat="1" ht="20.25" customHeight="1" x14ac:dyDescent="0.2">
      <c r="A5" s="411" t="s">
        <v>58</v>
      </c>
      <c r="B5" s="408" t="str">
        <f>Terrap.!B5</f>
        <v xml:space="preserve">PREFEITURA MUNICIPAL DE BARRA DO BUGRES </v>
      </c>
      <c r="C5" s="1302" t="str">
        <f>Terrap.!F5</f>
        <v>maio 2020</v>
      </c>
      <c r="D5" s="1020"/>
      <c r="E5" s="1300"/>
      <c r="F5" s="5"/>
      <c r="G5" s="1298"/>
      <c r="H5" s="1298"/>
      <c r="I5" s="1299"/>
      <c r="J5" s="1299"/>
      <c r="K5" s="18"/>
      <c r="L5" s="7"/>
      <c r="M5" s="1294"/>
      <c r="N5" s="1294"/>
      <c r="O5" s="1294"/>
      <c r="P5" s="1294"/>
    </row>
    <row r="6" spans="1:16" s="244" customFormat="1" ht="20.25" customHeight="1" thickBot="1" x14ac:dyDescent="0.25">
      <c r="A6" s="412" t="s">
        <v>43</v>
      </c>
      <c r="B6" s="409">
        <f>Terrap.!C18</f>
        <v>8721.93</v>
      </c>
      <c r="C6" s="1303"/>
      <c r="D6" s="1022"/>
      <c r="E6" s="1301"/>
      <c r="F6" s="5"/>
      <c r="G6" s="5"/>
      <c r="H6" s="5"/>
      <c r="I6" s="12"/>
      <c r="J6" s="12"/>
      <c r="K6" s="17"/>
      <c r="L6" s="7"/>
      <c r="M6" s="1294"/>
      <c r="N6" s="1294"/>
      <c r="O6" s="1294"/>
      <c r="P6" s="1294"/>
    </row>
    <row r="7" spans="1:16" s="244" customFormat="1" ht="27.75" thickBot="1" x14ac:dyDescent="0.25">
      <c r="A7" s="1295" t="s">
        <v>74</v>
      </c>
      <c r="B7" s="1296"/>
      <c r="C7" s="1296"/>
      <c r="D7" s="1296"/>
      <c r="E7" s="1297"/>
      <c r="F7" s="245"/>
      <c r="G7" s="245"/>
      <c r="H7" s="245"/>
      <c r="I7" s="245"/>
      <c r="J7" s="245"/>
      <c r="K7" s="245"/>
      <c r="L7" s="7"/>
    </row>
    <row r="8" spans="1:16" s="244" customFormat="1" ht="27" x14ac:dyDescent="0.2">
      <c r="A8" s="566" t="s">
        <v>0</v>
      </c>
      <c r="B8" s="567" t="s">
        <v>266</v>
      </c>
      <c r="C8" s="568" t="s">
        <v>267</v>
      </c>
      <c r="D8" s="568" t="s">
        <v>268</v>
      </c>
      <c r="E8" s="569" t="s">
        <v>244</v>
      </c>
      <c r="F8" s="245"/>
      <c r="G8" s="245"/>
      <c r="H8" s="245"/>
      <c r="I8" s="245"/>
      <c r="J8" s="245"/>
      <c r="K8" s="245"/>
      <c r="L8" s="7"/>
    </row>
    <row r="9" spans="1:16" s="244" customFormat="1" ht="20.25" customHeight="1" x14ac:dyDescent="0.2">
      <c r="A9" s="478">
        <f>Orçam.!A9</f>
        <v>1</v>
      </c>
      <c r="B9" s="495" t="s">
        <v>103</v>
      </c>
      <c r="C9" s="509"/>
      <c r="D9" s="509"/>
      <c r="E9" s="570"/>
      <c r="F9" s="245"/>
      <c r="G9" s="245"/>
      <c r="H9" s="245"/>
      <c r="I9" s="245"/>
      <c r="J9" s="245"/>
      <c r="K9" s="245"/>
      <c r="L9" s="7"/>
    </row>
    <row r="10" spans="1:16" s="244" customFormat="1" ht="45" x14ac:dyDescent="0.2">
      <c r="A10" s="378" t="str">
        <f>Orçam.!A10</f>
        <v>1.1</v>
      </c>
      <c r="B10" s="488" t="str">
        <f>Orçam.!D10</f>
        <v>EXECUÇÃO DE DEPÓSITO EM CANTEIRO DE OBRA EM CHAPA DE MADEIRA COMPENSADA, NÃO INCLUSO MOBILIÁRIO. AF_04/2016</v>
      </c>
      <c r="C10" s="460" t="str">
        <f>Orçam.!E10</f>
        <v>M2</v>
      </c>
      <c r="D10" s="460" t="s">
        <v>635</v>
      </c>
      <c r="E10" s="571">
        <v>12</v>
      </c>
      <c r="F10" s="245"/>
      <c r="G10" s="245"/>
      <c r="H10" s="245"/>
      <c r="I10" s="245"/>
      <c r="J10" s="245"/>
      <c r="K10" s="245"/>
      <c r="L10" s="7"/>
    </row>
    <row r="11" spans="1:16" s="244" customFormat="1" ht="27" x14ac:dyDescent="0.2">
      <c r="A11" s="378" t="str">
        <f>Orçam.!A11</f>
        <v>1.3</v>
      </c>
      <c r="B11" s="488" t="str">
        <f>Orçam.!D11</f>
        <v>PLACA DE OBRA EM CHAPA DE ACO GALVANIZADO</v>
      </c>
      <c r="C11" s="460" t="str">
        <f>Orçam.!E11</f>
        <v>M2</v>
      </c>
      <c r="D11" s="768" t="s">
        <v>657</v>
      </c>
      <c r="E11" s="571">
        <f>2.5*1.25</f>
        <v>3.13</v>
      </c>
      <c r="F11" s="245"/>
      <c r="G11" s="245"/>
      <c r="H11" s="245"/>
      <c r="I11" s="245"/>
      <c r="J11" s="245"/>
      <c r="K11" s="245"/>
      <c r="L11" s="7"/>
    </row>
    <row r="12" spans="1:16" s="244" customFormat="1" ht="27" x14ac:dyDescent="0.2">
      <c r="A12" s="478">
        <f>Orçam.!A13</f>
        <v>2</v>
      </c>
      <c r="B12" s="495" t="str">
        <f>Orçam.!D13</f>
        <v>ADMINISTRAÇÃO DE CANTEIRO DE OBRA</v>
      </c>
      <c r="C12" s="509"/>
      <c r="D12" s="509"/>
      <c r="E12" s="758"/>
      <c r="F12" s="245"/>
      <c r="G12" s="245"/>
      <c r="H12" s="245"/>
      <c r="I12" s="245"/>
      <c r="J12" s="245"/>
      <c r="K12" s="245"/>
      <c r="L12" s="7"/>
    </row>
    <row r="13" spans="1:16" s="244" customFormat="1" ht="27" x14ac:dyDescent="0.2">
      <c r="A13" s="378" t="str">
        <f>Orçam.!A14</f>
        <v>2.1</v>
      </c>
      <c r="B13" s="572" t="str">
        <f>Orçam.!D14</f>
        <v>ADMINISTRAÇÃO LOCAL DA OBRA</v>
      </c>
      <c r="C13" s="460" t="str">
        <f>Orçam.!E14</f>
        <v>UND</v>
      </c>
      <c r="D13" s="460" t="s">
        <v>529</v>
      </c>
      <c r="E13" s="571">
        <v>1</v>
      </c>
      <c r="F13" s="751">
        <f>Orçam.!J14</f>
        <v>4.0500000000000001E-2</v>
      </c>
      <c r="G13" s="245"/>
      <c r="H13" s="245"/>
      <c r="I13" s="245"/>
      <c r="J13" s="245"/>
      <c r="K13" s="245"/>
      <c r="L13" s="7"/>
    </row>
    <row r="14" spans="1:16" s="244" customFormat="1" ht="15" x14ac:dyDescent="0.2">
      <c r="A14" s="478">
        <f>Orçam.!A16</f>
        <v>3</v>
      </c>
      <c r="B14" s="495" t="s">
        <v>213</v>
      </c>
      <c r="C14" s="509"/>
      <c r="D14" s="509"/>
      <c r="E14" s="759"/>
      <c r="F14" s="7"/>
    </row>
    <row r="15" spans="1:16" s="244" customFormat="1" ht="15" x14ac:dyDescent="0.2">
      <c r="A15" s="490" t="str">
        <f>Orçam.!A17</f>
        <v>3.1</v>
      </c>
      <c r="B15" s="513" t="s">
        <v>134</v>
      </c>
      <c r="C15" s="513"/>
      <c r="D15" s="491"/>
      <c r="E15" s="761"/>
      <c r="F15" s="7"/>
    </row>
    <row r="16" spans="1:16" s="244" customFormat="1" ht="45.75" customHeight="1" x14ac:dyDescent="0.2">
      <c r="A16" s="484" t="str">
        <f>Orçam.!A18</f>
        <v>3.1.1</v>
      </c>
      <c r="B16" s="517" t="str">
        <f>Orçam.!D18</f>
        <v>ESCAVACAO MECANICA DE MATERIAL 1A. CATEGORIA, PROVENIENTE DE CORTE DE SUBLEITO (C/TRATOR ESTEIRAS 160HP)</v>
      </c>
      <c r="C16" s="575" t="str">
        <f>Orçam.!E18</f>
        <v>M3</v>
      </c>
      <c r="D16" s="576" t="s">
        <v>530</v>
      </c>
      <c r="E16" s="762">
        <f>Cub!H28</f>
        <v>3052.68</v>
      </c>
      <c r="F16" s="247"/>
      <c r="G16" s="248"/>
      <c r="H16" s="248"/>
    </row>
    <row r="17" spans="1:13" s="244" customFormat="1" ht="45" x14ac:dyDescent="0.2">
      <c r="A17" s="484" t="str">
        <f>Orçam.!A19</f>
        <v>3.1.2</v>
      </c>
      <c r="B17" s="517" t="str">
        <f>Orçam.!D19</f>
        <v>TRANSPORTE COM CAMINHÃO BASCULANTE DE 10 M3, EM VIA URBANA EM REVESTIMENTO PRIMÁRIO (UNIDADE: M3XKM). AF_04/2016</v>
      </c>
      <c r="C17" s="575" t="str">
        <f>Orçam.!E19</f>
        <v>M3xKM</v>
      </c>
      <c r="D17" s="576" t="s">
        <v>531</v>
      </c>
      <c r="E17" s="763">
        <f>Cub!I35</f>
        <v>7021.16</v>
      </c>
      <c r="F17" s="247"/>
      <c r="G17" s="248"/>
      <c r="H17" s="248"/>
    </row>
    <row r="18" spans="1:13" s="244" customFormat="1" ht="15" x14ac:dyDescent="0.2">
      <c r="A18" s="490" t="str">
        <f>Orçam.!A21</f>
        <v>3.2</v>
      </c>
      <c r="B18" s="513" t="s">
        <v>42</v>
      </c>
      <c r="C18" s="513"/>
      <c r="D18" s="491"/>
      <c r="E18" s="761"/>
      <c r="F18" s="7"/>
    </row>
    <row r="19" spans="1:13" s="244" customFormat="1" ht="30" x14ac:dyDescent="0.2">
      <c r="A19" s="484" t="str">
        <f>Orçam.!A22</f>
        <v>3.2.1</v>
      </c>
      <c r="B19" s="488" t="str">
        <f>Orçam.!D22</f>
        <v>REGULARIZAÇÃO E COMPACTAÇÃO DE SUBLEITO DE SOLO PREDOMINANTEMENTE ARENOSO. AF_11/2019</v>
      </c>
      <c r="C19" s="459" t="str">
        <f>Orçam.!E22</f>
        <v>m²</v>
      </c>
      <c r="D19" s="574" t="s">
        <v>225</v>
      </c>
      <c r="E19" s="762">
        <f>Terrap.!C18</f>
        <v>8721.93</v>
      </c>
      <c r="F19" s="7"/>
    </row>
    <row r="20" spans="1:13" s="244" customFormat="1" ht="60" x14ac:dyDescent="0.2">
      <c r="A20" s="484" t="str">
        <f>Orçam.!A23</f>
        <v>3.2.2</v>
      </c>
      <c r="B20" s="488" t="str">
        <f>Orçam.!D23</f>
        <v>ESCAVACAO E CARGA MATERIAL 1A CATEGORIA, UTILIZANDO TRATOR DE ESTEIRAS DE 110 A 160HP COM LAMINA, PESO OPERACIONAL * 13T E PA CARREGADEIRA COM 170 HP.</v>
      </c>
      <c r="C20" s="459" t="str">
        <f>Orçam.!E23</f>
        <v>m³</v>
      </c>
      <c r="D20" s="574" t="s">
        <v>143</v>
      </c>
      <c r="E20" s="762">
        <f>E23+E24</f>
        <v>3052.68</v>
      </c>
      <c r="F20" s="7"/>
    </row>
    <row r="21" spans="1:13" s="244" customFormat="1" ht="45" x14ac:dyDescent="0.2">
      <c r="A21" s="484" t="str">
        <f>Orçam.!A24</f>
        <v>3.2.3</v>
      </c>
      <c r="B21" s="488" t="str">
        <f>Orçam.!D24</f>
        <v>TRANSPORTE COM CAMINHÃO BASCULANTE DE 10 M3, EM VIA URBANA EM REVESTIM ENTO PRIMÁRIO (UNIDADE: M3XKM). AF_04/2016  - MAT JAZIDA DMT= 1,16 KM</v>
      </c>
      <c r="C21" s="459" t="str">
        <f>Orçam.!E24</f>
        <v>M3xKM</v>
      </c>
      <c r="D21" s="576" t="s">
        <v>338</v>
      </c>
      <c r="E21" s="762">
        <f>'BASE E SUB'!O16</f>
        <v>3541.11</v>
      </c>
      <c r="F21" s="7"/>
    </row>
    <row r="22" spans="1:13" s="244" customFormat="1" ht="45" x14ac:dyDescent="0.2">
      <c r="A22" s="484" t="str">
        <f>Orçam.!A25</f>
        <v>3.2.4</v>
      </c>
      <c r="B22" s="488" t="str">
        <f>Orçam.!D25</f>
        <v>TRANSPORTE COM CAMINHÃO BASCULANTE DE 10 M3, EM VIA URBANA PAVIMENTADA , DMT ACIMA DE 30KM (UNIDADE: M3XKM). AF_04/2016 - MAT JAZIDA DMT 19,31 KM</v>
      </c>
      <c r="C22" s="906" t="str">
        <f>Orçam.!E25</f>
        <v>M3xKM</v>
      </c>
      <c r="D22" s="576" t="s">
        <v>338</v>
      </c>
      <c r="E22" s="762">
        <f>'BASE E SUB'!P16</f>
        <v>58947.26</v>
      </c>
      <c r="F22" s="7"/>
    </row>
    <row r="23" spans="1:13" s="244" customFormat="1" ht="30" x14ac:dyDescent="0.2">
      <c r="A23" s="484" t="str">
        <f>Orçam.!A26</f>
        <v>3.2.5</v>
      </c>
      <c r="B23" s="517" t="str">
        <f>Orçam.!D26</f>
        <v>SUB-BASE DE SOLO ESTABILIZADO GRANULOMETRICAMENTE SEM MISTURA COM MATERIAL DE JAZIDA</v>
      </c>
      <c r="C23" s="516" t="str">
        <f>Orçam.!E26</f>
        <v>m³</v>
      </c>
      <c r="D23" s="576" t="s">
        <v>338</v>
      </c>
      <c r="E23" s="763">
        <f>'BASE E SUB'!J16</f>
        <v>1744.38</v>
      </c>
      <c r="F23" s="7"/>
    </row>
    <row r="24" spans="1:13" s="244" customFormat="1" ht="30" x14ac:dyDescent="0.2">
      <c r="A24" s="484" t="str">
        <f>Orçam.!A27</f>
        <v>3.2.6</v>
      </c>
      <c r="B24" s="517" t="str">
        <f>Orçam.!D27</f>
        <v>BASE ESTABILIZADA GRANULOMETRICAMENTE COM MISTURA DE SOLOS NA PISTA COM MATERIAL DE JAZIDA</v>
      </c>
      <c r="C24" s="516" t="str">
        <f>Orçam.!E27</f>
        <v>m³</v>
      </c>
      <c r="D24" s="576" t="s">
        <v>338</v>
      </c>
      <c r="E24" s="763">
        <f>'BASE E SUB'!K16</f>
        <v>1308.3</v>
      </c>
      <c r="F24" s="7"/>
    </row>
    <row r="25" spans="1:13" s="244" customFormat="1" ht="30" x14ac:dyDescent="0.2">
      <c r="A25" s="484" t="str">
        <f>Orçam.!A28</f>
        <v>3.2.7</v>
      </c>
      <c r="B25" s="517" t="str">
        <f>Orçam.!D28</f>
        <v>EXECUÇÃO DE IMPRIMAÇÃO COM ASFALTO DILUÍDO CM-30. AF_11/2019</v>
      </c>
      <c r="C25" s="516" t="str">
        <f>Orçam.!E28</f>
        <v>M2</v>
      </c>
      <c r="D25" s="576" t="s">
        <v>212</v>
      </c>
      <c r="E25" s="763">
        <f>Pavim.!C19</f>
        <v>7896.8</v>
      </c>
      <c r="F25" s="7"/>
    </row>
    <row r="26" spans="1:13" s="244" customFormat="1" ht="30" x14ac:dyDescent="0.2">
      <c r="A26" s="484" t="str">
        <f>Orçam.!A29</f>
        <v>3.2.8</v>
      </c>
      <c r="B26" s="517" t="str">
        <f>Orçam.!D29</f>
        <v>PAVIMENTO COM TRATAMENTO SUPERFICIAL DUPLO, COM EMULSÃO ASFÁLTICA RR-2C, COM CAPA SELANTE. AF_01/2020</v>
      </c>
      <c r="C26" s="516" t="str">
        <f>Orçam.!E29</f>
        <v>M2</v>
      </c>
      <c r="D26" s="576" t="s">
        <v>212</v>
      </c>
      <c r="E26" s="763">
        <f>Pavim.!C19</f>
        <v>7896.8</v>
      </c>
      <c r="F26" s="7"/>
      <c r="K26" s="249"/>
      <c r="L26" s="249"/>
    </row>
    <row r="27" spans="1:13" s="244" customFormat="1" ht="75" x14ac:dyDescent="0.2">
      <c r="A27" s="484" t="str">
        <f>Orçam.!A30</f>
        <v>3.2.9</v>
      </c>
      <c r="B27" s="488" t="str">
        <f>Orçam.!D30</f>
        <v>TRANSPORTE DE MATERIAL ASFALTICO, COM CAMINHÃO COM CAPACIDADE DE 30000L EM RODOVIA PAVIMENTADA PARA DISTÂNCIAS MÉDIAS DE TRANSPORTE SUPERIORES A 100 KM. AF_02/2016 - DMT=180,0 KM - CUIABA À BARRA DO BUGRES</v>
      </c>
      <c r="C27" s="459" t="str">
        <f>Orçam.!E30</f>
        <v>txkm</v>
      </c>
      <c r="D27" s="576" t="s">
        <v>227</v>
      </c>
      <c r="E27" s="763">
        <f>'MAT BETUMINOSO'!J16</f>
        <v>8528.4</v>
      </c>
      <c r="F27" s="7"/>
      <c r="K27" s="249"/>
      <c r="L27" s="249"/>
    </row>
    <row r="28" spans="1:13" s="244" customFormat="1" ht="30" x14ac:dyDescent="0.2">
      <c r="A28" s="484" t="str">
        <f>Orçam.!A31</f>
        <v>3.2.10</v>
      </c>
      <c r="B28" s="488" t="str">
        <f>Orçam.!D31</f>
        <v>TRANSPORTE COMERCIAL DE BRITA. DMT=  75,20 KM - JAZIDA - BARRA DO BUGRES</v>
      </c>
      <c r="C28" s="459" t="str">
        <f>Orçam.!E31</f>
        <v>M3XKM</v>
      </c>
      <c r="D28" s="576" t="s">
        <v>226</v>
      </c>
      <c r="E28" s="762">
        <f>'MAT. PETREO'!J16</f>
        <v>18540.560000000001</v>
      </c>
      <c r="F28" s="7"/>
      <c r="K28" s="250"/>
      <c r="L28" s="249"/>
    </row>
    <row r="29" spans="1:13" s="244" customFormat="1" ht="15" x14ac:dyDescent="0.2">
      <c r="A29" s="490" t="str">
        <f>Orçam.!A33</f>
        <v>3.3</v>
      </c>
      <c r="B29" s="508" t="s">
        <v>48</v>
      </c>
      <c r="C29" s="498"/>
      <c r="D29" s="498"/>
      <c r="E29" s="760"/>
      <c r="F29" s="7"/>
    </row>
    <row r="30" spans="1:13" s="244" customFormat="1" ht="60" x14ac:dyDescent="0.2">
      <c r="A30" s="484" t="str">
        <f>Orçam.!A34</f>
        <v>3.3.1</v>
      </c>
      <c r="B30" s="507" t="str">
        <f>Orçam.!D34</f>
        <v>GUIA (MEIO-FIO) E SARJETA CONJUGADOS DE CONCRETO, MOLDADA IN LOCO EM TRECHO RETO COM EXTRUSORA, 45 CM BASE (15 CM BASE DA GUIA + 30 CM BASE DA SARJETA) X 22 CM ALTURA. AF_06/2016</v>
      </c>
      <c r="C30" s="489" t="str">
        <f>Orçam.!E34</f>
        <v>m</v>
      </c>
      <c r="D30" s="573" t="s">
        <v>561</v>
      </c>
      <c r="E30" s="764">
        <f>'MF e Sarj.'!C19</f>
        <v>1807.11</v>
      </c>
      <c r="F30" s="7"/>
      <c r="K30" s="249"/>
      <c r="L30" s="249"/>
      <c r="M30" s="249"/>
    </row>
    <row r="31" spans="1:13" s="244" customFormat="1" ht="60" x14ac:dyDescent="0.2">
      <c r="A31" s="484" t="str">
        <f>Orçam.!A35</f>
        <v>3.3.2</v>
      </c>
      <c r="B31" s="507" t="str">
        <f>Orçam.!D35</f>
        <v>GUIA (MEIO-FIO) E SARJETA CONJUGADOS DE CONCRETO, MOLDADA IN LOCO EM TRECHO CURVO COM EXTRUSORA, 45 CM BASE (15 CM BASE DA GUIA + 30 CM BASE DA SARJETA) X 22 CM ALTURA. AF_06/2016</v>
      </c>
      <c r="C31" s="489" t="str">
        <f>Orçam.!E35</f>
        <v>m</v>
      </c>
      <c r="D31" s="573" t="s">
        <v>560</v>
      </c>
      <c r="E31" s="764">
        <f>'MF e Sarj.'!C42</f>
        <v>134.94</v>
      </c>
      <c r="F31" s="7"/>
      <c r="K31" s="249"/>
      <c r="L31" s="249"/>
      <c r="M31" s="249"/>
    </row>
    <row r="32" spans="1:13" s="244" customFormat="1" ht="45" x14ac:dyDescent="0.2">
      <c r="A32" s="484" t="str">
        <f>Orçam.!A36</f>
        <v>3.3.3</v>
      </c>
      <c r="B32" s="507" t="str">
        <f>Orçam.!D36</f>
        <v>PREPARO DE FUNDO DE VALA COM LARGURA MENOR QUE 1,5 M, EM LOCAL COM NÍVEL ALTO DE INTERFERÊNCIA. AF_06/2016</v>
      </c>
      <c r="C32" s="489" t="str">
        <f>Orçam.!E36</f>
        <v>m²</v>
      </c>
      <c r="D32" s="573" t="s">
        <v>421</v>
      </c>
      <c r="E32" s="764">
        <f>CALÇADA!J16</f>
        <v>2866.76</v>
      </c>
      <c r="F32" s="7"/>
      <c r="K32" s="249"/>
      <c r="L32" s="249"/>
      <c r="M32" s="249"/>
    </row>
    <row r="33" spans="1:13" s="244" customFormat="1" ht="45" x14ac:dyDescent="0.2">
      <c r="A33" s="484" t="str">
        <f>Orçam.!A37</f>
        <v>3.3.4</v>
      </c>
      <c r="B33" s="507" t="str">
        <f>Orçam.!D37</f>
        <v>EXECUÇÃO DE PASSEIO (CALÇADA) OU PISO DE CONCRETO COM CONCRETO MOLDADO IN LOCO, FEITO EM OBRA, ACABAMENTO CONVENCIONAL, NÃO ARMADO. AF_07/2016</v>
      </c>
      <c r="C33" s="489" t="str">
        <f>Orçam.!E37</f>
        <v>m³</v>
      </c>
      <c r="D33" s="573" t="s">
        <v>420</v>
      </c>
      <c r="E33" s="764">
        <f>CALÇADA!C17</f>
        <v>143.33000000000001</v>
      </c>
      <c r="F33" s="7"/>
      <c r="K33" s="249"/>
      <c r="L33" s="249"/>
      <c r="M33" s="249"/>
    </row>
    <row r="34" spans="1:13" s="244" customFormat="1" ht="45.75" thickBot="1" x14ac:dyDescent="0.25">
      <c r="A34" s="484" t="str">
        <f>Orçam.!A38</f>
        <v>3.3.5</v>
      </c>
      <c r="B34" s="578" t="str">
        <f>Orçam.!D38</f>
        <v>PISO TÁTIL DIRECIONAL E/OU ALERTA, DE CONCRETO, NA COR NATURAL, P/DEFICIENTES VISUAIS, DIMENSÕES 25X25CM, APLICADO COM ARGAMASSA AC-II</v>
      </c>
      <c r="C34" s="579" t="str">
        <f>Orçam.!E38</f>
        <v>UND</v>
      </c>
      <c r="D34" s="580" t="s">
        <v>145</v>
      </c>
      <c r="E34" s="766">
        <f>'PISO TATIL'!L17</f>
        <v>7768</v>
      </c>
      <c r="F34" s="7"/>
      <c r="K34" s="249"/>
      <c r="L34" s="249"/>
      <c r="M34" s="249"/>
    </row>
    <row r="35" spans="1:13" s="244" customFormat="1" ht="15" x14ac:dyDescent="0.2">
      <c r="A35" s="490" t="str">
        <f>Orçam.!A40</f>
        <v>3.4</v>
      </c>
      <c r="B35" s="513" t="s">
        <v>135</v>
      </c>
      <c r="C35" s="513"/>
      <c r="D35" s="491"/>
      <c r="E35" s="761"/>
      <c r="F35" s="7"/>
    </row>
    <row r="36" spans="1:13" s="244" customFormat="1" ht="30" x14ac:dyDescent="0.2">
      <c r="A36" s="484" t="str">
        <f>Orçam.!A41</f>
        <v>3.4.1</v>
      </c>
      <c r="B36" s="507" t="str">
        <f>Orçam.!D41</f>
        <v>CONFECÇÃO DE SUPORTE E TRAVESSA PARA PLACA DE SINALIZAÇÃO</v>
      </c>
      <c r="C36" s="489" t="str">
        <f>Orçam.!E41</f>
        <v>UND</v>
      </c>
      <c r="D36" s="577" t="s">
        <v>145</v>
      </c>
      <c r="E36" s="765">
        <f>Sinal.!I40</f>
        <v>28</v>
      </c>
      <c r="F36" s="7"/>
      <c r="K36" s="250"/>
    </row>
    <row r="37" spans="1:13" s="244" customFormat="1" ht="30" x14ac:dyDescent="0.2">
      <c r="A37" s="484" t="str">
        <f>Orçam.!A42</f>
        <v>3.4.2</v>
      </c>
      <c r="B37" s="507" t="str">
        <f>Orçam.!D42</f>
        <v>PLACA DE SINALIZACAO EM CHAPA DE ACO NUM 16 COM PINTURA REFLETIVA - FORNECIMENTO E INSTALAÇÃO</v>
      </c>
      <c r="C37" s="489" t="str">
        <f>Orçam.!E42</f>
        <v>M2</v>
      </c>
      <c r="D37" s="577" t="s">
        <v>145</v>
      </c>
      <c r="E37" s="765">
        <f>Sinal.!I39</f>
        <v>3.63</v>
      </c>
      <c r="F37" s="7"/>
      <c r="K37" s="250"/>
    </row>
    <row r="38" spans="1:13" s="244" customFormat="1" ht="45" x14ac:dyDescent="0.2">
      <c r="A38" s="484" t="str">
        <f>Orçam.!A43</f>
        <v>3.4.3</v>
      </c>
      <c r="B38" s="507" t="str">
        <f>Orçam.!D43</f>
        <v>FORNECIMENTO E IMPLANTAÇÃO DE PLACA DELINEADOR EM AÇO - 0,30 X 0,90 M - PELÍCULA RETRORREFLETIVA TIPO I + IV (NOME DE RUA)</v>
      </c>
      <c r="C38" s="489" t="str">
        <f>Orçam.!E43</f>
        <v>UND</v>
      </c>
      <c r="D38" s="577" t="s">
        <v>145</v>
      </c>
      <c r="E38" s="765">
        <f>Sinal.!I38</f>
        <v>13</v>
      </c>
      <c r="F38" s="7"/>
    </row>
    <row r="39" spans="1:13" s="244" customFormat="1" ht="30" x14ac:dyDescent="0.2">
      <c r="A39" s="484" t="str">
        <f>Orçam.!A44</f>
        <v>3.4.4</v>
      </c>
      <c r="B39" s="507" t="str">
        <f>Orçam.!D44</f>
        <v>SINALIZACAO HORIZONTAL COM TINTA RETRORREFLETIVA A BASE DE RESINA ACRILICA COM MICROESFERAS DE VIDRO</v>
      </c>
      <c r="C39" s="489" t="str">
        <f>Orçam.!E44</f>
        <v>M2</v>
      </c>
      <c r="D39" s="577" t="s">
        <v>145</v>
      </c>
      <c r="E39" s="765">
        <f>Sinal.!I41</f>
        <v>471.85</v>
      </c>
      <c r="F39" s="7"/>
    </row>
    <row r="40" spans="1:13" x14ac:dyDescent="0.2">
      <c r="D40" s="108"/>
      <c r="E40" s="108"/>
    </row>
    <row r="41" spans="1:13" ht="15" x14ac:dyDescent="0.2">
      <c r="I41" s="252"/>
      <c r="J41" s="253"/>
    </row>
    <row r="42" spans="1:13" ht="15.75" x14ac:dyDescent="0.2">
      <c r="B42" s="254" t="str">
        <f>Terrap.!B20</f>
        <v xml:space="preserve">Vinicius Ferreira Fava </v>
      </c>
      <c r="I42" s="252"/>
      <c r="J42" s="253"/>
    </row>
    <row r="43" spans="1:13" ht="15" x14ac:dyDescent="0.2">
      <c r="B43" s="919" t="str">
        <f>Terrap.!B21</f>
        <v>ENGº CIVIL</v>
      </c>
      <c r="I43" s="252"/>
      <c r="J43" s="253"/>
    </row>
    <row r="44" spans="1:13" x14ac:dyDescent="0.2">
      <c r="B44" s="919" t="str">
        <f>Terrap.!B22</f>
        <v>Crea: 121.286.161-2</v>
      </c>
    </row>
  </sheetData>
  <mergeCells count="9">
    <mergeCell ref="A1:E1"/>
    <mergeCell ref="A2:E2"/>
    <mergeCell ref="M4:P6"/>
    <mergeCell ref="A7:E7"/>
    <mergeCell ref="G4:H5"/>
    <mergeCell ref="I4:J5"/>
    <mergeCell ref="D4:D6"/>
    <mergeCell ref="E4:E6"/>
    <mergeCell ref="C5:C6"/>
  </mergeCells>
  <pageMargins left="0.19685039370078741" right="0.19685039370078741" top="0.19685039370078741" bottom="0.19685039370078741" header="0.31496062992125984" footer="0.31496062992125984"/>
  <pageSetup paperSize="9" scale="73" orientation="portrait" r:id="rId1"/>
  <rowBreaks count="1" manualBreakCount="1">
    <brk id="24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7"/>
  <sheetViews>
    <sheetView view="pageBreakPreview" topLeftCell="A31" zoomScale="115" zoomScaleSheetLayoutView="115" workbookViewId="0">
      <selection activeCell="B42" sqref="B42:F42"/>
    </sheetView>
  </sheetViews>
  <sheetFormatPr defaultRowHeight="12.75" x14ac:dyDescent="0.2"/>
  <cols>
    <col min="1" max="1" width="13.5703125" style="13" customWidth="1"/>
    <col min="2" max="2" width="34.5703125" style="108" customWidth="1"/>
    <col min="3" max="3" width="7.42578125" style="108" customWidth="1"/>
    <col min="4" max="5" width="9.7109375" style="108" customWidth="1"/>
    <col min="6" max="6" width="6.42578125" style="108" customWidth="1"/>
    <col min="7" max="7" width="8.42578125" style="13" customWidth="1"/>
    <col min="8" max="8" width="11.7109375" style="108" customWidth="1"/>
    <col min="9" max="9" width="12.140625" style="108" customWidth="1"/>
    <col min="10" max="10" width="11.5703125" style="108" customWidth="1"/>
    <col min="11" max="16384" width="9.140625" style="108"/>
  </cols>
  <sheetData>
    <row r="1" spans="1:10" ht="15.75" x14ac:dyDescent="0.25">
      <c r="A1" s="1336" t="str">
        <f>Terrap.!A1</f>
        <v>ESTADO DE MATO GROSSO</v>
      </c>
      <c r="B1" s="1337"/>
      <c r="C1" s="1337"/>
      <c r="D1" s="1337"/>
      <c r="E1" s="1337"/>
      <c r="F1" s="1337"/>
      <c r="G1" s="1337"/>
      <c r="H1" s="1337"/>
      <c r="I1" s="1337"/>
      <c r="J1" s="1338"/>
    </row>
    <row r="2" spans="1:10" ht="15.75" x14ac:dyDescent="0.25">
      <c r="A2" s="1339" t="str">
        <f>Terrap.!A2</f>
        <v xml:space="preserve">PREFEITURA MUNICIPAL DE BARRA DO BUGRES </v>
      </c>
      <c r="B2" s="1340"/>
      <c r="C2" s="1340"/>
      <c r="D2" s="1340"/>
      <c r="E2" s="1340"/>
      <c r="F2" s="1340"/>
      <c r="G2" s="1340"/>
      <c r="H2" s="1340"/>
      <c r="I2" s="1340"/>
      <c r="J2" s="1341"/>
    </row>
    <row r="3" spans="1:10" ht="15.75" x14ac:dyDescent="0.25">
      <c r="A3" s="93"/>
      <c r="B3" s="92"/>
      <c r="C3" s="92"/>
      <c r="D3" s="92"/>
      <c r="E3" s="92"/>
      <c r="F3" s="92"/>
      <c r="G3" s="92"/>
      <c r="H3" s="92"/>
      <c r="I3" s="92"/>
      <c r="J3" s="94"/>
    </row>
    <row r="4" spans="1:10" ht="15.75" x14ac:dyDescent="0.25">
      <c r="A4" s="95" t="s">
        <v>56</v>
      </c>
      <c r="B4" s="1342" t="str">
        <f>Terrap.!B3</f>
        <v>PAVIMENTAÇÃO ASFALTICA E DRENAGEM DE AGUAS PLUVIAIS</v>
      </c>
      <c r="C4" s="1342"/>
      <c r="D4" s="1342"/>
      <c r="E4" s="1342"/>
      <c r="F4" s="1342"/>
      <c r="G4" s="1342"/>
      <c r="H4" s="1342"/>
      <c r="I4" s="1342"/>
      <c r="J4" s="1343"/>
    </row>
    <row r="5" spans="1:10" ht="12.75" customHeight="1" x14ac:dyDescent="0.25">
      <c r="A5" s="95" t="s">
        <v>57</v>
      </c>
      <c r="B5" s="1342" t="str">
        <f>Terrap.!B4</f>
        <v>DIVERSAS RUAS - PERIMETRO URBANO</v>
      </c>
      <c r="C5" s="1342"/>
      <c r="D5" s="1342"/>
      <c r="E5" s="1342"/>
      <c r="F5" s="1342"/>
      <c r="G5" s="1342"/>
      <c r="H5" s="1342"/>
      <c r="I5" s="1342"/>
      <c r="J5" s="1343"/>
    </row>
    <row r="6" spans="1:10" ht="15.75" customHeight="1" x14ac:dyDescent="0.25">
      <c r="A6" s="95" t="s">
        <v>58</v>
      </c>
      <c r="B6" s="1342" t="str">
        <f>Terrap.!B5</f>
        <v xml:space="preserve">PREFEITURA MUNICIPAL DE BARRA DO BUGRES </v>
      </c>
      <c r="C6" s="1342"/>
      <c r="D6" s="1342"/>
      <c r="E6" s="1342"/>
      <c r="F6" s="1342"/>
      <c r="G6" s="1342"/>
      <c r="H6" s="1342"/>
      <c r="I6" s="1344" t="str">
        <f>Terrap.!I3</f>
        <v>SINAPI - MARÇO / 2020                                                                                                                               ANP - NOV/2019 (desonerado) SICRO OUT/2019</v>
      </c>
      <c r="J6" s="1345"/>
    </row>
    <row r="7" spans="1:10" ht="18" customHeight="1" thickBot="1" x14ac:dyDescent="0.3">
      <c r="A7" s="96" t="s">
        <v>59</v>
      </c>
      <c r="B7" s="99">
        <f>Pavim.!C19</f>
        <v>7896.8</v>
      </c>
      <c r="C7" s="100"/>
      <c r="D7" s="97"/>
      <c r="E7" s="98" t="s">
        <v>60</v>
      </c>
      <c r="F7" s="1348">
        <f>Terrap.!F6</f>
        <v>0.26740000000000003</v>
      </c>
      <c r="G7" s="1348"/>
      <c r="H7" s="98" t="s">
        <v>61</v>
      </c>
      <c r="I7" s="1346"/>
      <c r="J7" s="1347"/>
    </row>
    <row r="8" spans="1:10" ht="18" customHeight="1" thickBot="1" x14ac:dyDescent="0.25">
      <c r="A8" s="1214" t="s">
        <v>290</v>
      </c>
      <c r="B8" s="1215"/>
      <c r="C8" s="1215"/>
      <c r="D8" s="1215"/>
      <c r="E8" s="1215"/>
      <c r="F8" s="1215"/>
      <c r="G8" s="1215"/>
      <c r="H8" s="1215"/>
      <c r="I8" s="1215"/>
      <c r="J8" s="1216"/>
    </row>
    <row r="9" spans="1:10" ht="18" customHeight="1" thickBot="1" x14ac:dyDescent="0.25">
      <c r="A9" s="223"/>
      <c r="B9" s="223"/>
      <c r="C9" s="223"/>
      <c r="D9" s="223"/>
      <c r="E9" s="223"/>
      <c r="F9" s="223"/>
      <c r="G9" s="223"/>
      <c r="H9" s="223"/>
      <c r="I9" s="223"/>
      <c r="J9" s="223"/>
    </row>
    <row r="10" spans="1:10" ht="18.75" customHeight="1" thickBot="1" x14ac:dyDescent="0.25">
      <c r="A10" s="1325" t="s">
        <v>179</v>
      </c>
      <c r="B10" s="1326"/>
      <c r="C10" s="1326"/>
      <c r="D10" s="1326"/>
      <c r="E10" s="1326"/>
      <c r="F10" s="1326"/>
      <c r="G10" s="1326"/>
      <c r="H10" s="1326"/>
      <c r="I10" s="1326"/>
      <c r="J10" s="1327"/>
    </row>
    <row r="11" spans="1:10" ht="18.75" customHeight="1" thickBot="1" x14ac:dyDescent="0.25">
      <c r="A11" s="229" t="s">
        <v>291</v>
      </c>
      <c r="B11" s="1331" t="s">
        <v>292</v>
      </c>
      <c r="C11" s="1331"/>
      <c r="D11" s="1331"/>
      <c r="E11" s="1331"/>
      <c r="F11" s="1331"/>
      <c r="G11" s="1331"/>
      <c r="H11" s="1331"/>
      <c r="I11" s="1331"/>
      <c r="J11" s="1332"/>
    </row>
    <row r="12" spans="1:10" x14ac:dyDescent="0.2">
      <c r="A12" s="217" t="s">
        <v>186</v>
      </c>
      <c r="B12" s="1333" t="s">
        <v>181</v>
      </c>
      <c r="C12" s="1334"/>
      <c r="D12" s="1334"/>
      <c r="E12" s="1334"/>
      <c r="F12" s="1335"/>
      <c r="G12" s="207" t="s">
        <v>182</v>
      </c>
      <c r="H12" s="207" t="s">
        <v>183</v>
      </c>
      <c r="I12" s="207" t="s">
        <v>184</v>
      </c>
      <c r="J12" s="228" t="s">
        <v>185</v>
      </c>
    </row>
    <row r="13" spans="1:10" ht="25.5" customHeight="1" x14ac:dyDescent="0.2">
      <c r="A13" s="222">
        <v>6256</v>
      </c>
      <c r="B13" s="1319" t="s">
        <v>187</v>
      </c>
      <c r="C13" s="1320"/>
      <c r="D13" s="1320"/>
      <c r="E13" s="1320"/>
      <c r="F13" s="1321"/>
      <c r="G13" s="37" t="s">
        <v>188</v>
      </c>
      <c r="H13" s="189">
        <v>7.6899999999999998E-3</v>
      </c>
      <c r="I13" s="190">
        <v>168.45</v>
      </c>
      <c r="J13" s="202">
        <f t="shared" ref="J13:J18" si="0">ROUND((H13*I13),2)</f>
        <v>1.3</v>
      </c>
    </row>
    <row r="14" spans="1:10" x14ac:dyDescent="0.2">
      <c r="A14" s="222">
        <v>6879</v>
      </c>
      <c r="B14" s="1319" t="s">
        <v>189</v>
      </c>
      <c r="C14" s="1320"/>
      <c r="D14" s="1320"/>
      <c r="E14" s="1320"/>
      <c r="F14" s="1321"/>
      <c r="G14" s="37" t="s">
        <v>188</v>
      </c>
      <c r="H14" s="189">
        <v>4.62E-3</v>
      </c>
      <c r="I14" s="190">
        <v>114.17</v>
      </c>
      <c r="J14" s="202">
        <f t="shared" si="0"/>
        <v>0.53</v>
      </c>
    </row>
    <row r="15" spans="1:10" ht="31.5" customHeight="1" x14ac:dyDescent="0.2">
      <c r="A15" s="222">
        <v>6880</v>
      </c>
      <c r="B15" s="1319" t="s">
        <v>189</v>
      </c>
      <c r="C15" s="1320"/>
      <c r="D15" s="1320"/>
      <c r="E15" s="1320"/>
      <c r="F15" s="1321"/>
      <c r="G15" s="37" t="s">
        <v>190</v>
      </c>
      <c r="H15" s="189">
        <v>3.0799999999999998E-3</v>
      </c>
      <c r="I15" s="190">
        <v>43.09</v>
      </c>
      <c r="J15" s="202">
        <f t="shared" si="0"/>
        <v>0.13</v>
      </c>
    </row>
    <row r="16" spans="1:10" ht="28.5" customHeight="1" x14ac:dyDescent="0.2">
      <c r="A16" s="222">
        <v>7018</v>
      </c>
      <c r="B16" s="1319" t="s">
        <v>191</v>
      </c>
      <c r="C16" s="1320"/>
      <c r="D16" s="1320"/>
      <c r="E16" s="1320"/>
      <c r="F16" s="1321"/>
      <c r="G16" s="37" t="s">
        <v>188</v>
      </c>
      <c r="H16" s="189">
        <v>3.8500000000000001E-3</v>
      </c>
      <c r="I16" s="190">
        <v>179.91</v>
      </c>
      <c r="J16" s="202">
        <f t="shared" si="0"/>
        <v>0.69</v>
      </c>
    </row>
    <row r="17" spans="1:10" ht="30.75" customHeight="1" x14ac:dyDescent="0.2">
      <c r="A17" s="222">
        <v>7021</v>
      </c>
      <c r="B17" s="1319" t="s">
        <v>192</v>
      </c>
      <c r="C17" s="1320"/>
      <c r="D17" s="1320"/>
      <c r="E17" s="1320"/>
      <c r="F17" s="1321"/>
      <c r="G17" s="37" t="s">
        <v>193</v>
      </c>
      <c r="H17" s="189">
        <f>H16</f>
        <v>3.8500000000000001E-3</v>
      </c>
      <c r="I17" s="190">
        <v>12.24</v>
      </c>
      <c r="J17" s="202">
        <f t="shared" si="0"/>
        <v>0.05</v>
      </c>
    </row>
    <row r="18" spans="1:10" ht="21" customHeight="1" x14ac:dyDescent="0.2">
      <c r="A18" s="222">
        <v>73408</v>
      </c>
      <c r="B18" s="1319" t="s">
        <v>194</v>
      </c>
      <c r="C18" s="1320"/>
      <c r="D18" s="1320"/>
      <c r="E18" s="1320"/>
      <c r="F18" s="1321"/>
      <c r="G18" s="37" t="s">
        <v>188</v>
      </c>
      <c r="H18" s="189">
        <v>7.6899999999999998E-3</v>
      </c>
      <c r="I18" s="190">
        <v>113.44</v>
      </c>
      <c r="J18" s="202">
        <f t="shared" si="0"/>
        <v>0.87</v>
      </c>
    </row>
    <row r="19" spans="1:10" ht="13.5" thickBot="1" x14ac:dyDescent="0.25">
      <c r="A19" s="203"/>
      <c r="B19" s="1304" t="s">
        <v>195</v>
      </c>
      <c r="C19" s="1305"/>
      <c r="D19" s="1305"/>
      <c r="E19" s="1305"/>
      <c r="F19" s="1306"/>
      <c r="G19" s="221"/>
      <c r="H19" s="205"/>
      <c r="I19" s="204"/>
      <c r="J19" s="206">
        <f>SUM(J13:J18)</f>
        <v>3.57</v>
      </c>
    </row>
    <row r="20" spans="1:10" ht="13.5" thickBot="1" x14ac:dyDescent="0.25">
      <c r="A20" s="1316"/>
      <c r="B20" s="1317"/>
      <c r="C20" s="1317"/>
      <c r="D20" s="1317"/>
      <c r="E20" s="1317"/>
      <c r="F20" s="1317"/>
      <c r="G20" s="1317"/>
      <c r="H20" s="1317"/>
      <c r="I20" s="1317"/>
      <c r="J20" s="1318"/>
    </row>
    <row r="21" spans="1:10" x14ac:dyDescent="0.2">
      <c r="A21" s="197" t="s">
        <v>186</v>
      </c>
      <c r="B21" s="1307" t="s">
        <v>196</v>
      </c>
      <c r="C21" s="1308"/>
      <c r="D21" s="1308"/>
      <c r="E21" s="1308"/>
      <c r="F21" s="1309"/>
      <c r="G21" s="198" t="s">
        <v>182</v>
      </c>
      <c r="H21" s="199" t="s">
        <v>183</v>
      </c>
      <c r="I21" s="198" t="s">
        <v>184</v>
      </c>
      <c r="J21" s="200" t="s">
        <v>185</v>
      </c>
    </row>
    <row r="22" spans="1:10" x14ac:dyDescent="0.2">
      <c r="A22" s="201">
        <v>88316</v>
      </c>
      <c r="B22" s="1322" t="s">
        <v>296</v>
      </c>
      <c r="C22" s="1323"/>
      <c r="D22" s="1323"/>
      <c r="E22" s="1323"/>
      <c r="F22" s="1324"/>
      <c r="G22" s="37" t="s">
        <v>197</v>
      </c>
      <c r="H22" s="191">
        <v>5.3850000000000002E-2</v>
      </c>
      <c r="I22" s="190">
        <v>11.49</v>
      </c>
      <c r="J22" s="202">
        <f>ROUND((H22*I22),2)</f>
        <v>0.62</v>
      </c>
    </row>
    <row r="23" spans="1:10" ht="13.5" thickBot="1" x14ac:dyDescent="0.25">
      <c r="A23" s="203"/>
      <c r="B23" s="1304" t="s">
        <v>198</v>
      </c>
      <c r="C23" s="1305"/>
      <c r="D23" s="1305"/>
      <c r="E23" s="1305"/>
      <c r="F23" s="1306"/>
      <c r="G23" s="221"/>
      <c r="H23" s="205"/>
      <c r="I23" s="204"/>
      <c r="J23" s="206">
        <f>SUM(J22:J22)</f>
        <v>0.62</v>
      </c>
    </row>
    <row r="24" spans="1:10" ht="13.5" thickBot="1" x14ac:dyDescent="0.25">
      <c r="A24" s="1316"/>
      <c r="B24" s="1317"/>
      <c r="C24" s="1317"/>
      <c r="D24" s="1317"/>
      <c r="E24" s="1317"/>
      <c r="F24" s="1317"/>
      <c r="G24" s="1317"/>
      <c r="H24" s="1317"/>
      <c r="I24" s="1317"/>
      <c r="J24" s="1318"/>
    </row>
    <row r="25" spans="1:10" x14ac:dyDescent="0.2">
      <c r="A25" s="197" t="s">
        <v>186</v>
      </c>
      <c r="B25" s="1307" t="s">
        <v>199</v>
      </c>
      <c r="C25" s="1308"/>
      <c r="D25" s="1308"/>
      <c r="E25" s="1308"/>
      <c r="F25" s="1309"/>
      <c r="G25" s="198" t="s">
        <v>182</v>
      </c>
      <c r="H25" s="210" t="s">
        <v>183</v>
      </c>
      <c r="I25" s="209" t="s">
        <v>184</v>
      </c>
      <c r="J25" s="211" t="s">
        <v>185</v>
      </c>
    </row>
    <row r="26" spans="1:10" ht="29.25" customHeight="1" x14ac:dyDescent="0.2">
      <c r="A26" s="201">
        <v>505</v>
      </c>
      <c r="B26" s="1319" t="s">
        <v>200</v>
      </c>
      <c r="C26" s="1320"/>
      <c r="D26" s="1320"/>
      <c r="E26" s="1320"/>
      <c r="F26" s="1321"/>
      <c r="G26" s="37" t="s">
        <v>201</v>
      </c>
      <c r="H26" s="189"/>
      <c r="I26" s="190">
        <v>1.96</v>
      </c>
      <c r="J26" s="202">
        <f>ROUND((H26*I26),2)</f>
        <v>0</v>
      </c>
    </row>
    <row r="27" spans="1:10" ht="25.5" customHeight="1" x14ac:dyDescent="0.2">
      <c r="A27" s="212" t="s">
        <v>274</v>
      </c>
      <c r="B27" s="1319" t="s">
        <v>293</v>
      </c>
      <c r="C27" s="1320"/>
      <c r="D27" s="1320"/>
      <c r="E27" s="1320"/>
      <c r="F27" s="1321"/>
      <c r="G27" s="37" t="s">
        <v>202</v>
      </c>
      <c r="H27" s="189">
        <v>2.47E-2</v>
      </c>
      <c r="I27" s="192">
        <f>30*1.4</f>
        <v>42</v>
      </c>
      <c r="J27" s="202">
        <f>ROUND((H27*I27),2)</f>
        <v>1.04</v>
      </c>
    </row>
    <row r="28" spans="1:10" ht="13.5" thickBot="1" x14ac:dyDescent="0.25">
      <c r="A28" s="203"/>
      <c r="B28" s="1304" t="s">
        <v>203</v>
      </c>
      <c r="C28" s="1305"/>
      <c r="D28" s="1305"/>
      <c r="E28" s="1305"/>
      <c r="F28" s="1306"/>
      <c r="G28" s="221"/>
      <c r="H28" s="204"/>
      <c r="I28" s="204"/>
      <c r="J28" s="206">
        <f>SUM(J26:J27)</f>
        <v>1.04</v>
      </c>
    </row>
    <row r="29" spans="1:10" ht="13.5" thickBot="1" x14ac:dyDescent="0.25">
      <c r="A29" s="224"/>
      <c r="B29" s="213"/>
      <c r="C29" s="213"/>
      <c r="D29" s="213"/>
      <c r="E29" s="213"/>
      <c r="F29" s="213"/>
      <c r="G29" s="226"/>
      <c r="H29" s="213"/>
      <c r="I29" s="213"/>
      <c r="J29" s="225"/>
    </row>
    <row r="30" spans="1:10" x14ac:dyDescent="0.2">
      <c r="A30" s="214"/>
      <c r="B30" s="1307" t="s">
        <v>129</v>
      </c>
      <c r="C30" s="1308"/>
      <c r="D30" s="1308"/>
      <c r="E30" s="1308"/>
      <c r="F30" s="1309"/>
      <c r="G30" s="227"/>
      <c r="H30" s="215"/>
      <c r="I30" s="215"/>
      <c r="J30" s="216"/>
    </row>
    <row r="31" spans="1:10" x14ac:dyDescent="0.2">
      <c r="A31" s="217"/>
      <c r="B31" s="1310" t="s">
        <v>204</v>
      </c>
      <c r="C31" s="1311"/>
      <c r="D31" s="1311"/>
      <c r="E31" s="1311"/>
      <c r="F31" s="1312"/>
      <c r="G31" s="207"/>
      <c r="H31" s="208"/>
      <c r="I31" s="208"/>
      <c r="J31" s="218">
        <f>J19+J23+J28</f>
        <v>5.23</v>
      </c>
    </row>
    <row r="32" spans="1:10" x14ac:dyDescent="0.2">
      <c r="A32" s="219"/>
      <c r="B32" s="1310" t="s">
        <v>205</v>
      </c>
      <c r="C32" s="1311"/>
      <c r="D32" s="1311"/>
      <c r="E32" s="1311"/>
      <c r="F32" s="1312"/>
      <c r="G32" s="36"/>
      <c r="H32" s="188"/>
      <c r="I32" s="193">
        <v>0</v>
      </c>
      <c r="J32" s="220">
        <f>ROUND((J31*I32),2)</f>
        <v>0</v>
      </c>
    </row>
    <row r="33" spans="1:10" ht="13.5" thickBot="1" x14ac:dyDescent="0.25">
      <c r="A33" s="203"/>
      <c r="B33" s="1313" t="s">
        <v>206</v>
      </c>
      <c r="C33" s="1314"/>
      <c r="D33" s="1314"/>
      <c r="E33" s="1314"/>
      <c r="F33" s="1315"/>
      <c r="G33" s="221"/>
      <c r="H33" s="204"/>
      <c r="I33" s="204"/>
      <c r="J33" s="206">
        <f>J31+J32</f>
        <v>5.23</v>
      </c>
    </row>
    <row r="34" spans="1:10" ht="13.5" thickBot="1" x14ac:dyDescent="0.25">
      <c r="A34" s="194"/>
      <c r="B34" s="195"/>
      <c r="C34" s="195"/>
      <c r="D34" s="195"/>
      <c r="E34" s="195"/>
      <c r="F34" s="195"/>
      <c r="G34" s="194"/>
      <c r="H34" s="195"/>
      <c r="I34" s="195"/>
      <c r="J34" s="195"/>
    </row>
    <row r="35" spans="1:10" ht="15.75" customHeight="1" thickBot="1" x14ac:dyDescent="0.25">
      <c r="A35" s="1328" t="s">
        <v>180</v>
      </c>
      <c r="B35" s="1329"/>
      <c r="C35" s="1329"/>
      <c r="D35" s="1329"/>
      <c r="E35" s="1329"/>
      <c r="F35" s="1329"/>
      <c r="G35" s="1329"/>
      <c r="H35" s="1329"/>
      <c r="I35" s="1329"/>
      <c r="J35" s="1330"/>
    </row>
    <row r="36" spans="1:10" ht="18.75" customHeight="1" thickBot="1" x14ac:dyDescent="0.25">
      <c r="A36" s="229" t="s">
        <v>291</v>
      </c>
      <c r="B36" s="1331" t="s">
        <v>295</v>
      </c>
      <c r="C36" s="1331"/>
      <c r="D36" s="1331"/>
      <c r="E36" s="1331"/>
      <c r="F36" s="1331"/>
      <c r="G36" s="1331"/>
      <c r="H36" s="1331"/>
      <c r="I36" s="1331"/>
      <c r="J36" s="1332"/>
    </row>
    <row r="37" spans="1:10" x14ac:dyDescent="0.2">
      <c r="A37" s="197" t="s">
        <v>186</v>
      </c>
      <c r="B37" s="1307" t="s">
        <v>181</v>
      </c>
      <c r="C37" s="1308"/>
      <c r="D37" s="1308"/>
      <c r="E37" s="1308"/>
      <c r="F37" s="1309"/>
      <c r="G37" s="198" t="s">
        <v>182</v>
      </c>
      <c r="H37" s="198" t="s">
        <v>183</v>
      </c>
      <c r="I37" s="198" t="s">
        <v>184</v>
      </c>
      <c r="J37" s="200" t="s">
        <v>185</v>
      </c>
    </row>
    <row r="38" spans="1:10" ht="27" customHeight="1" x14ac:dyDescent="0.2">
      <c r="A38" s="222">
        <v>73353</v>
      </c>
      <c r="B38" s="1319" t="s">
        <v>207</v>
      </c>
      <c r="C38" s="1320"/>
      <c r="D38" s="1320"/>
      <c r="E38" s="1320"/>
      <c r="F38" s="1321"/>
      <c r="G38" s="37" t="s">
        <v>188</v>
      </c>
      <c r="H38" s="189">
        <v>5.3000000000000001E-5</v>
      </c>
      <c r="I38" s="190">
        <v>50.58</v>
      </c>
      <c r="J38" s="202">
        <f>ROUND((H38*I38),2)</f>
        <v>0</v>
      </c>
    </row>
    <row r="39" spans="1:10" ht="27" customHeight="1" x14ac:dyDescent="0.2">
      <c r="A39" s="222">
        <v>73389</v>
      </c>
      <c r="B39" s="1319" t="s">
        <v>208</v>
      </c>
      <c r="C39" s="1320"/>
      <c r="D39" s="1320"/>
      <c r="E39" s="1320"/>
      <c r="F39" s="1321"/>
      <c r="G39" s="37" t="s">
        <v>188</v>
      </c>
      <c r="H39" s="189">
        <v>1.067E-3</v>
      </c>
      <c r="I39" s="190">
        <v>8.17</v>
      </c>
      <c r="J39" s="202">
        <f>ROUND((H39*I39),2)</f>
        <v>0.01</v>
      </c>
    </row>
    <row r="40" spans="1:10" ht="27" customHeight="1" x14ac:dyDescent="0.2">
      <c r="A40" s="222">
        <v>73453</v>
      </c>
      <c r="B40" s="1319" t="s">
        <v>209</v>
      </c>
      <c r="C40" s="1320"/>
      <c r="D40" s="1320"/>
      <c r="E40" s="1320"/>
      <c r="F40" s="1321"/>
      <c r="G40" s="37" t="s">
        <v>190</v>
      </c>
      <c r="H40" s="189">
        <v>1.067E-3</v>
      </c>
      <c r="I40" s="190">
        <v>58.94</v>
      </c>
      <c r="J40" s="202">
        <f>ROUND((H40*I40),2)</f>
        <v>0.06</v>
      </c>
    </row>
    <row r="41" spans="1:10" ht="27" customHeight="1" x14ac:dyDescent="0.2">
      <c r="A41" s="222">
        <v>73479</v>
      </c>
      <c r="B41" s="1319" t="s">
        <v>210</v>
      </c>
      <c r="C41" s="1320"/>
      <c r="D41" s="1320"/>
      <c r="E41" s="1320"/>
      <c r="F41" s="1321"/>
      <c r="G41" s="37" t="s">
        <v>188</v>
      </c>
      <c r="H41" s="189">
        <v>7.4700000000000005E-4</v>
      </c>
      <c r="I41" s="190">
        <v>194.32</v>
      </c>
      <c r="J41" s="202">
        <f>ROUND((H41*I41),2)</f>
        <v>0.15</v>
      </c>
    </row>
    <row r="42" spans="1:10" ht="27" customHeight="1" x14ac:dyDescent="0.2">
      <c r="A42" s="222">
        <v>73529</v>
      </c>
      <c r="B42" s="1319" t="s">
        <v>211</v>
      </c>
      <c r="C42" s="1320"/>
      <c r="D42" s="1320"/>
      <c r="E42" s="1320"/>
      <c r="F42" s="1321"/>
      <c r="G42" s="37" t="s">
        <v>193</v>
      </c>
      <c r="H42" s="189">
        <v>1.067E-3</v>
      </c>
      <c r="I42" s="190">
        <v>87.34</v>
      </c>
      <c r="J42" s="202">
        <f>ROUND((H42*I42),2)</f>
        <v>0.09</v>
      </c>
    </row>
    <row r="43" spans="1:10" ht="13.5" thickBot="1" x14ac:dyDescent="0.25">
      <c r="A43" s="203"/>
      <c r="B43" s="1304" t="s">
        <v>195</v>
      </c>
      <c r="C43" s="1305"/>
      <c r="D43" s="1305"/>
      <c r="E43" s="1305"/>
      <c r="F43" s="1306"/>
      <c r="G43" s="221"/>
      <c r="H43" s="205"/>
      <c r="I43" s="204"/>
      <c r="J43" s="206">
        <f>SUM(J38:J42)</f>
        <v>0.31</v>
      </c>
    </row>
    <row r="44" spans="1:10" ht="13.5" thickBot="1" x14ac:dyDescent="0.25">
      <c r="A44" s="1316"/>
      <c r="B44" s="1317"/>
      <c r="C44" s="1317"/>
      <c r="D44" s="1317"/>
      <c r="E44" s="1317"/>
      <c r="F44" s="1317"/>
      <c r="G44" s="1317"/>
      <c r="H44" s="1317"/>
      <c r="I44" s="1317"/>
      <c r="J44" s="1318"/>
    </row>
    <row r="45" spans="1:10" x14ac:dyDescent="0.2">
      <c r="A45" s="197" t="s">
        <v>186</v>
      </c>
      <c r="B45" s="1307" t="s">
        <v>196</v>
      </c>
      <c r="C45" s="1308"/>
      <c r="D45" s="1308"/>
      <c r="E45" s="1308"/>
      <c r="F45" s="1309"/>
      <c r="G45" s="198" t="s">
        <v>182</v>
      </c>
      <c r="H45" s="199" t="s">
        <v>183</v>
      </c>
      <c r="I45" s="198" t="s">
        <v>184</v>
      </c>
      <c r="J45" s="200" t="s">
        <v>185</v>
      </c>
    </row>
    <row r="46" spans="1:10" x14ac:dyDescent="0.2">
      <c r="A46" s="201">
        <v>88316</v>
      </c>
      <c r="B46" s="1322" t="s">
        <v>296</v>
      </c>
      <c r="C46" s="1323"/>
      <c r="D46" s="1323"/>
      <c r="E46" s="1323"/>
      <c r="F46" s="1324"/>
      <c r="G46" s="37" t="s">
        <v>193</v>
      </c>
      <c r="H46" s="191">
        <v>4.3E-3</v>
      </c>
      <c r="I46" s="190">
        <v>11.49</v>
      </c>
      <c r="J46" s="202">
        <f>ROUND((H46*I46),2)</f>
        <v>0.05</v>
      </c>
    </row>
    <row r="47" spans="1:10" ht="13.5" thickBot="1" x14ac:dyDescent="0.25">
      <c r="A47" s="203"/>
      <c r="B47" s="1304" t="s">
        <v>198</v>
      </c>
      <c r="C47" s="1305"/>
      <c r="D47" s="1305"/>
      <c r="E47" s="1305"/>
      <c r="F47" s="1306"/>
      <c r="G47" s="221"/>
      <c r="H47" s="205"/>
      <c r="I47" s="204"/>
      <c r="J47" s="206">
        <f>SUM(J46:J46)</f>
        <v>0.05</v>
      </c>
    </row>
    <row r="48" spans="1:10" ht="13.5" thickBot="1" x14ac:dyDescent="0.25">
      <c r="A48" s="1316"/>
      <c r="B48" s="1317"/>
      <c r="C48" s="1317"/>
      <c r="D48" s="1317"/>
      <c r="E48" s="1317"/>
      <c r="F48" s="1317"/>
      <c r="G48" s="1317"/>
      <c r="H48" s="1317"/>
      <c r="I48" s="1317"/>
      <c r="J48" s="1318"/>
    </row>
    <row r="49" spans="1:10" x14ac:dyDescent="0.2">
      <c r="A49" s="197" t="s">
        <v>186</v>
      </c>
      <c r="B49" s="1307" t="s">
        <v>199</v>
      </c>
      <c r="C49" s="1308"/>
      <c r="D49" s="1308"/>
      <c r="E49" s="1308"/>
      <c r="F49" s="1309"/>
      <c r="G49" s="198" t="s">
        <v>182</v>
      </c>
      <c r="H49" s="210" t="s">
        <v>183</v>
      </c>
      <c r="I49" s="209" t="s">
        <v>184</v>
      </c>
      <c r="J49" s="211" t="s">
        <v>185</v>
      </c>
    </row>
    <row r="50" spans="1:10" ht="26.25" customHeight="1" x14ac:dyDescent="0.2">
      <c r="A50" s="201">
        <v>505</v>
      </c>
      <c r="B50" s="1319" t="s">
        <v>200</v>
      </c>
      <c r="C50" s="1320"/>
      <c r="D50" s="1320"/>
      <c r="E50" s="1320"/>
      <c r="F50" s="1321"/>
      <c r="G50" s="37" t="s">
        <v>201</v>
      </c>
      <c r="H50" s="189"/>
      <c r="I50" s="190">
        <v>1.96</v>
      </c>
      <c r="J50" s="202">
        <f>ROUND((H50*I50),2)</f>
        <v>0</v>
      </c>
    </row>
    <row r="51" spans="1:10" ht="24.75" customHeight="1" x14ac:dyDescent="0.2">
      <c r="A51" s="212" t="s">
        <v>274</v>
      </c>
      <c r="B51" s="1319" t="s">
        <v>294</v>
      </c>
      <c r="C51" s="1320"/>
      <c r="D51" s="1320"/>
      <c r="E51" s="1320"/>
      <c r="F51" s="1321"/>
      <c r="G51" s="37" t="s">
        <v>202</v>
      </c>
      <c r="H51" s="189">
        <v>7.1999999999999998E-3</v>
      </c>
      <c r="I51" s="192">
        <f>30*1.4</f>
        <v>42</v>
      </c>
      <c r="J51" s="202">
        <f>ROUND((H51*I51),2)</f>
        <v>0.3</v>
      </c>
    </row>
    <row r="52" spans="1:10" ht="13.5" thickBot="1" x14ac:dyDescent="0.25">
      <c r="A52" s="203"/>
      <c r="B52" s="1304" t="s">
        <v>203</v>
      </c>
      <c r="C52" s="1305"/>
      <c r="D52" s="1305"/>
      <c r="E52" s="1305"/>
      <c r="F52" s="1306"/>
      <c r="G52" s="221"/>
      <c r="H52" s="204"/>
      <c r="I52" s="204"/>
      <c r="J52" s="206">
        <f>SUM(J50:J51)</f>
        <v>0.3</v>
      </c>
    </row>
    <row r="53" spans="1:10" ht="13.5" thickBot="1" x14ac:dyDescent="0.25">
      <c r="A53" s="224"/>
      <c r="B53" s="213"/>
      <c r="C53" s="213"/>
      <c r="D53" s="213"/>
      <c r="E53" s="213"/>
      <c r="F53" s="213"/>
      <c r="G53" s="226"/>
      <c r="H53" s="213"/>
      <c r="I53" s="213"/>
      <c r="J53" s="225"/>
    </row>
    <row r="54" spans="1:10" x14ac:dyDescent="0.2">
      <c r="A54" s="214"/>
      <c r="B54" s="1307" t="s">
        <v>129</v>
      </c>
      <c r="C54" s="1308"/>
      <c r="D54" s="1308"/>
      <c r="E54" s="1308"/>
      <c r="F54" s="1309"/>
      <c r="G54" s="227"/>
      <c r="H54" s="215"/>
      <c r="I54" s="215"/>
      <c r="J54" s="216"/>
    </row>
    <row r="55" spans="1:10" x14ac:dyDescent="0.2">
      <c r="A55" s="217"/>
      <c r="B55" s="1310" t="s">
        <v>204</v>
      </c>
      <c r="C55" s="1311"/>
      <c r="D55" s="1311"/>
      <c r="E55" s="1311"/>
      <c r="F55" s="1312"/>
      <c r="G55" s="207"/>
      <c r="H55" s="208"/>
      <c r="I55" s="208"/>
      <c r="J55" s="218">
        <f>J43+J47+J52</f>
        <v>0.66</v>
      </c>
    </row>
    <row r="56" spans="1:10" x14ac:dyDescent="0.2">
      <c r="A56" s="219"/>
      <c r="B56" s="1310" t="s">
        <v>205</v>
      </c>
      <c r="C56" s="1311"/>
      <c r="D56" s="1311"/>
      <c r="E56" s="1311"/>
      <c r="F56" s="1312"/>
      <c r="G56" s="36"/>
      <c r="H56" s="188"/>
      <c r="I56" s="193">
        <v>0</v>
      </c>
      <c r="J56" s="220">
        <f>ROUND((J55*I56),2)</f>
        <v>0</v>
      </c>
    </row>
    <row r="57" spans="1:10" ht="13.5" thickBot="1" x14ac:dyDescent="0.25">
      <c r="A57" s="203"/>
      <c r="B57" s="1313" t="s">
        <v>206</v>
      </c>
      <c r="C57" s="1314"/>
      <c r="D57" s="1314"/>
      <c r="E57" s="1314"/>
      <c r="F57" s="1315"/>
      <c r="G57" s="221"/>
      <c r="H57" s="204"/>
      <c r="I57" s="204"/>
      <c r="J57" s="206">
        <f>J55+J56</f>
        <v>0.66</v>
      </c>
    </row>
    <row r="58" spans="1:10" x14ac:dyDescent="0.2">
      <c r="A58" s="194"/>
      <c r="B58" s="195"/>
      <c r="C58" s="195"/>
      <c r="D58" s="195"/>
      <c r="E58" s="195"/>
      <c r="F58" s="195"/>
      <c r="G58" s="194"/>
      <c r="H58" s="195"/>
      <c r="I58" s="195"/>
      <c r="J58" s="195"/>
    </row>
    <row r="59" spans="1:10" x14ac:dyDescent="0.2">
      <c r="A59" s="194"/>
      <c r="B59" s="195"/>
      <c r="C59" s="195"/>
      <c r="D59" s="195"/>
      <c r="E59" s="195"/>
      <c r="F59" s="195"/>
      <c r="G59" s="194"/>
      <c r="H59" s="195"/>
      <c r="I59" s="195"/>
      <c r="J59" s="195"/>
    </row>
    <row r="60" spans="1:10" x14ac:dyDescent="0.2">
      <c r="A60" s="194"/>
      <c r="B60" s="195"/>
      <c r="C60" s="195"/>
      <c r="D60" s="195"/>
      <c r="E60" s="195"/>
      <c r="F60" s="195"/>
      <c r="G60" s="194"/>
      <c r="H60" s="195"/>
      <c r="I60" s="195"/>
      <c r="J60" s="195"/>
    </row>
    <row r="61" spans="1:10" x14ac:dyDescent="0.2">
      <c r="A61" s="194"/>
      <c r="B61" s="195"/>
      <c r="C61" s="195"/>
      <c r="D61" s="195"/>
      <c r="E61" s="195"/>
      <c r="F61" s="195"/>
      <c r="G61" s="194"/>
      <c r="H61" s="195"/>
      <c r="I61" s="195"/>
      <c r="J61" s="195"/>
    </row>
    <row r="62" spans="1:10" x14ac:dyDescent="0.2">
      <c r="A62" s="194"/>
      <c r="B62" s="195"/>
      <c r="C62" s="195"/>
      <c r="D62" s="195"/>
      <c r="E62" s="195"/>
      <c r="F62" s="195"/>
      <c r="G62" s="194"/>
      <c r="H62" s="195"/>
      <c r="I62" s="195"/>
      <c r="J62" s="195"/>
    </row>
    <row r="63" spans="1:10" x14ac:dyDescent="0.2">
      <c r="A63" s="194"/>
      <c r="B63" s="195"/>
      <c r="C63" s="195"/>
      <c r="D63" s="195"/>
      <c r="E63" s="195"/>
      <c r="F63" s="195"/>
      <c r="G63" s="194"/>
      <c r="H63" s="195"/>
      <c r="I63" s="195"/>
      <c r="J63" s="195"/>
    </row>
    <row r="64" spans="1:10" x14ac:dyDescent="0.2">
      <c r="A64" s="194"/>
      <c r="B64" s="195"/>
      <c r="C64" s="195"/>
      <c r="D64" s="195"/>
      <c r="E64" s="195"/>
      <c r="F64" s="195"/>
      <c r="G64" s="194"/>
      <c r="H64" s="195"/>
      <c r="I64" s="195"/>
      <c r="J64" s="195"/>
    </row>
    <row r="65" spans="1:10" x14ac:dyDescent="0.2">
      <c r="A65" s="194"/>
      <c r="B65" s="194"/>
      <c r="C65" s="194"/>
      <c r="D65" s="194"/>
      <c r="E65" s="194"/>
      <c r="F65" s="194"/>
      <c r="G65" s="194"/>
      <c r="H65" s="195"/>
      <c r="I65" s="195"/>
      <c r="J65" s="195"/>
    </row>
    <row r="66" spans="1:10" x14ac:dyDescent="0.2">
      <c r="A66" s="194"/>
      <c r="B66" s="196" t="str">
        <f>Terrap.!B20</f>
        <v xml:space="preserve">Vinicius Ferreira Fava </v>
      </c>
      <c r="C66" s="196"/>
      <c r="D66" s="196"/>
      <c r="E66" s="196"/>
      <c r="F66" s="196"/>
      <c r="G66" s="194"/>
      <c r="H66" s="195"/>
      <c r="I66" s="195"/>
      <c r="J66" s="195"/>
    </row>
    <row r="67" spans="1:10" x14ac:dyDescent="0.2">
      <c r="A67" s="194"/>
      <c r="B67" s="194" t="str">
        <f>Terrap.!B21</f>
        <v>ENGº CIVIL</v>
      </c>
      <c r="C67" s="194"/>
      <c r="D67" s="194"/>
      <c r="E67" s="194"/>
      <c r="F67" s="194"/>
      <c r="G67" s="194"/>
      <c r="H67" s="195"/>
      <c r="I67" s="195"/>
      <c r="J67" s="195"/>
    </row>
  </sheetData>
  <mergeCells count="53">
    <mergeCell ref="A1:J1"/>
    <mergeCell ref="A2:J2"/>
    <mergeCell ref="B4:J4"/>
    <mergeCell ref="B5:J5"/>
    <mergeCell ref="B6:H6"/>
    <mergeCell ref="I6:J7"/>
    <mergeCell ref="F7:G7"/>
    <mergeCell ref="B26:F26"/>
    <mergeCell ref="B18:F18"/>
    <mergeCell ref="B12:F12"/>
    <mergeCell ref="B22:F22"/>
    <mergeCell ref="B19:F19"/>
    <mergeCell ref="B21:F21"/>
    <mergeCell ref="B13:F13"/>
    <mergeCell ref="B14:F14"/>
    <mergeCell ref="B15:F15"/>
    <mergeCell ref="B16:F16"/>
    <mergeCell ref="B17:F17"/>
    <mergeCell ref="A8:J8"/>
    <mergeCell ref="A10:J10"/>
    <mergeCell ref="B28:F28"/>
    <mergeCell ref="A35:J35"/>
    <mergeCell ref="B37:F37"/>
    <mergeCell ref="B11:J11"/>
    <mergeCell ref="B36:J36"/>
    <mergeCell ref="B27:F27"/>
    <mergeCell ref="B30:F30"/>
    <mergeCell ref="B31:F31"/>
    <mergeCell ref="B32:F32"/>
    <mergeCell ref="B33:F33"/>
    <mergeCell ref="B23:F23"/>
    <mergeCell ref="A20:J20"/>
    <mergeCell ref="A24:J24"/>
    <mergeCell ref="B25:F25"/>
    <mergeCell ref="B43:F43"/>
    <mergeCell ref="A44:J44"/>
    <mergeCell ref="B45:F45"/>
    <mergeCell ref="B46:F46"/>
    <mergeCell ref="B38:F38"/>
    <mergeCell ref="B39:F39"/>
    <mergeCell ref="B40:F40"/>
    <mergeCell ref="B41:F41"/>
    <mergeCell ref="B42:F42"/>
    <mergeCell ref="B47:F47"/>
    <mergeCell ref="A48:J48"/>
    <mergeCell ref="B49:F49"/>
    <mergeCell ref="B50:F50"/>
    <mergeCell ref="B51:F51"/>
    <mergeCell ref="B52:F52"/>
    <mergeCell ref="B54:F54"/>
    <mergeCell ref="B55:F55"/>
    <mergeCell ref="B56:F56"/>
    <mergeCell ref="B57:F57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57"/>
  <sheetViews>
    <sheetView tabSelected="1" view="pageBreakPreview" topLeftCell="A39" zoomScale="85" zoomScaleNormal="85" zoomScaleSheetLayoutView="85" zoomScalePageLayoutView="80" workbookViewId="0">
      <selection activeCell="L27" sqref="L27"/>
    </sheetView>
  </sheetViews>
  <sheetFormatPr defaultRowHeight="15" x14ac:dyDescent="0.2"/>
  <cols>
    <col min="1" max="1" width="12.42578125" style="8" customWidth="1"/>
    <col min="2" max="2" width="17.28515625" style="8" customWidth="1"/>
    <col min="3" max="3" width="15" style="8" customWidth="1"/>
    <col min="4" max="4" width="69.7109375" style="258" customWidth="1"/>
    <col min="5" max="5" width="10.140625" style="8" customWidth="1"/>
    <col min="6" max="6" width="15.5703125" style="10" customWidth="1"/>
    <col min="7" max="8" width="10.7109375" style="11" customWidth="1"/>
    <col min="9" max="9" width="16.7109375" style="11" customWidth="1"/>
    <col min="10" max="10" width="12.5703125" style="19" customWidth="1"/>
    <col min="11" max="11" width="10.5703125" style="244" bestFit="1" customWidth="1"/>
    <col min="12" max="12" width="14.85546875" style="244" customWidth="1"/>
    <col min="13" max="13" width="13.140625" style="244" bestFit="1" customWidth="1"/>
    <col min="14" max="14" width="12.5703125" style="244" bestFit="1" customWidth="1"/>
    <col min="15" max="16384" width="9.140625" style="244"/>
  </cols>
  <sheetData>
    <row r="1" spans="1:14" ht="15.75" x14ac:dyDescent="0.2">
      <c r="A1" s="1349" t="str">
        <f>Terrap.!A1</f>
        <v>ESTADO DE MATO GROSSO</v>
      </c>
      <c r="B1" s="1350"/>
      <c r="C1" s="1350"/>
      <c r="D1" s="1350"/>
      <c r="E1" s="1350"/>
      <c r="F1" s="1350"/>
      <c r="G1" s="1350"/>
      <c r="H1" s="1350"/>
      <c r="I1" s="1350"/>
      <c r="J1" s="1351"/>
    </row>
    <row r="2" spans="1:14" ht="15.75" x14ac:dyDescent="0.2">
      <c r="A2" s="1352" t="str">
        <f>Terrap.!A2</f>
        <v xml:space="preserve">PREFEITURA MUNICIPAL DE BARRA DO BUGRES </v>
      </c>
      <c r="B2" s="1353"/>
      <c r="C2" s="1353"/>
      <c r="D2" s="1353"/>
      <c r="E2" s="1353"/>
      <c r="F2" s="1353"/>
      <c r="G2" s="1353"/>
      <c r="H2" s="1353"/>
      <c r="I2" s="1353"/>
      <c r="J2" s="1354"/>
      <c r="K2" s="904"/>
      <c r="L2" s="904"/>
      <c r="M2" s="904"/>
    </row>
    <row r="3" spans="1:14" ht="26.25" customHeight="1" x14ac:dyDescent="0.2">
      <c r="A3" s="378" t="str">
        <f>Terrap.!A3</f>
        <v>OBRA:</v>
      </c>
      <c r="B3" s="1368" t="str">
        <f>Terrap.!B3</f>
        <v>PAVIMENTAÇÃO ASFALTICA E DRENAGEM DE AGUAS PLUVIAIS</v>
      </c>
      <c r="C3" s="1369"/>
      <c r="D3" s="1369"/>
      <c r="E3" s="1370"/>
      <c r="F3" s="1357" t="s">
        <v>136</v>
      </c>
      <c r="G3" s="1362" t="str">
        <f>Terrap.!I3</f>
        <v>SINAPI - MARÇO / 2020                                                                                                                               ANP - NOV/2019 (desonerado) SICRO OUT/2019</v>
      </c>
      <c r="H3" s="1362"/>
      <c r="I3" s="1362"/>
      <c r="J3" s="1363"/>
      <c r="K3" s="904"/>
      <c r="L3" s="904"/>
      <c r="M3" s="904"/>
    </row>
    <row r="4" spans="1:14" ht="26.25" customHeight="1" x14ac:dyDescent="0.2">
      <c r="A4" s="378" t="str">
        <f>Terrap.!A4</f>
        <v>LOCAL:</v>
      </c>
      <c r="B4" s="1368" t="str">
        <f>Terrap.!B4</f>
        <v>DIVERSAS RUAS - PERIMETRO URBANO</v>
      </c>
      <c r="C4" s="1369"/>
      <c r="D4" s="1369"/>
      <c r="E4" s="1370"/>
      <c r="F4" s="1357"/>
      <c r="G4" s="1364"/>
      <c r="H4" s="1364"/>
      <c r="I4" s="1364"/>
      <c r="J4" s="1365"/>
      <c r="K4" s="7"/>
      <c r="L4" s="7"/>
      <c r="M4" s="7"/>
    </row>
    <row r="5" spans="1:14" ht="26.25" customHeight="1" x14ac:dyDescent="0.2">
      <c r="A5" s="378" t="str">
        <f>Terrap.!A5</f>
        <v>PROPR.:</v>
      </c>
      <c r="B5" s="1368" t="str">
        <f>Terrap.!B5</f>
        <v xml:space="preserve">PREFEITURA MUNICIPAL DE BARRA DO BUGRES </v>
      </c>
      <c r="C5" s="1369"/>
      <c r="D5" s="1369"/>
      <c r="E5" s="1370"/>
      <c r="F5" s="1357"/>
      <c r="G5" s="1366"/>
      <c r="H5" s="1366"/>
      <c r="I5" s="1366"/>
      <c r="J5" s="1367"/>
      <c r="K5" s="7"/>
      <c r="L5" s="7"/>
      <c r="M5" s="7"/>
      <c r="N5" s="7"/>
    </row>
    <row r="6" spans="1:14" ht="26.25" customHeight="1" thickBot="1" x14ac:dyDescent="0.25">
      <c r="A6" s="380" t="str">
        <f>Terrap.!A6</f>
        <v>ÁREA (m²):</v>
      </c>
      <c r="B6" s="1358">
        <f>Pavim.!C19</f>
        <v>7896.8</v>
      </c>
      <c r="C6" s="1358"/>
      <c r="D6" s="1358"/>
      <c r="E6" s="1358"/>
      <c r="F6" s="853" t="s">
        <v>370</v>
      </c>
      <c r="G6" s="854">
        <v>43948</v>
      </c>
      <c r="H6" s="854"/>
      <c r="I6" s="413" t="s">
        <v>60</v>
      </c>
      <c r="J6" s="529">
        <f>BDI!F17</f>
        <v>0.26740000000000003</v>
      </c>
      <c r="K6" s="7"/>
      <c r="L6" s="7"/>
      <c r="M6" s="7"/>
      <c r="N6" s="7"/>
    </row>
    <row r="7" spans="1:14" ht="26.25" customHeight="1" thickBot="1" x14ac:dyDescent="0.25">
      <c r="A7" s="1295" t="s">
        <v>131</v>
      </c>
      <c r="B7" s="1296"/>
      <c r="C7" s="1296"/>
      <c r="D7" s="1296"/>
      <c r="E7" s="1296"/>
      <c r="F7" s="1296"/>
      <c r="G7" s="1296"/>
      <c r="H7" s="1296"/>
      <c r="I7" s="1296"/>
      <c r="J7" s="1297"/>
      <c r="K7" s="7"/>
    </row>
    <row r="8" spans="1:14" ht="57" x14ac:dyDescent="0.2">
      <c r="A8" s="472" t="s">
        <v>0</v>
      </c>
      <c r="B8" s="473" t="s">
        <v>392</v>
      </c>
      <c r="C8" s="473" t="s">
        <v>393</v>
      </c>
      <c r="D8" s="474" t="s">
        <v>1</v>
      </c>
      <c r="E8" s="474" t="s">
        <v>2</v>
      </c>
      <c r="F8" s="475" t="s">
        <v>3</v>
      </c>
      <c r="G8" s="476" t="s">
        <v>627</v>
      </c>
      <c r="H8" s="476" t="s">
        <v>130</v>
      </c>
      <c r="I8" s="476" t="s">
        <v>391</v>
      </c>
      <c r="J8" s="477" t="s">
        <v>4</v>
      </c>
      <c r="K8" s="256"/>
      <c r="L8" s="913"/>
      <c r="M8" s="913"/>
      <c r="N8" s="913"/>
    </row>
    <row r="9" spans="1:14" x14ac:dyDescent="0.2">
      <c r="A9" s="478">
        <v>1</v>
      </c>
      <c r="B9" s="479"/>
      <c r="C9" s="479"/>
      <c r="D9" s="480" t="s">
        <v>30</v>
      </c>
      <c r="E9" s="479"/>
      <c r="F9" s="481"/>
      <c r="G9" s="481"/>
      <c r="H9" s="481"/>
      <c r="I9" s="481"/>
      <c r="J9" s="483"/>
      <c r="K9" s="905"/>
    </row>
    <row r="10" spans="1:14" ht="30" x14ac:dyDescent="0.2">
      <c r="A10" s="484" t="s">
        <v>23</v>
      </c>
      <c r="B10" s="668">
        <v>93584</v>
      </c>
      <c r="C10" s="460" t="s">
        <v>392</v>
      </c>
      <c r="D10" s="485" t="s">
        <v>416</v>
      </c>
      <c r="E10" s="459" t="s">
        <v>538</v>
      </c>
      <c r="F10" s="486">
        <f>'Mem. Calc.'!E10</f>
        <v>12</v>
      </c>
      <c r="G10" s="487">
        <v>518.1</v>
      </c>
      <c r="H10" s="487">
        <f>G10+G10*$J$6</f>
        <v>656.64</v>
      </c>
      <c r="I10" s="487">
        <f>F10*H10</f>
        <v>7879.68</v>
      </c>
      <c r="J10" s="1355">
        <f>I12/I46</f>
        <v>1.47E-2</v>
      </c>
      <c r="K10" s="905"/>
    </row>
    <row r="11" spans="1:14" ht="30" customHeight="1" x14ac:dyDescent="0.2">
      <c r="A11" s="484" t="s">
        <v>45</v>
      </c>
      <c r="B11" s="1360" t="str">
        <f>COMPOSIÇÕES!A8</f>
        <v>COMPOSIÇÃO 01</v>
      </c>
      <c r="C11" s="1361"/>
      <c r="D11" s="488" t="s">
        <v>102</v>
      </c>
      <c r="E11" s="459" t="s">
        <v>538</v>
      </c>
      <c r="F11" s="486">
        <f>'Mem. Calc.'!E11</f>
        <v>3.13</v>
      </c>
      <c r="G11" s="487">
        <f>COMPOSIÇÕES!F19</f>
        <v>375.51</v>
      </c>
      <c r="H11" s="487">
        <f>G11+G11*$J$6</f>
        <v>475.92</v>
      </c>
      <c r="I11" s="487">
        <f>F11*H11</f>
        <v>1489.63</v>
      </c>
      <c r="J11" s="1359"/>
      <c r="K11" s="905"/>
    </row>
    <row r="12" spans="1:14" x14ac:dyDescent="0.2">
      <c r="A12" s="490"/>
      <c r="B12" s="491"/>
      <c r="C12" s="491"/>
      <c r="D12" s="492" t="s">
        <v>7</v>
      </c>
      <c r="E12" s="491"/>
      <c r="F12" s="493"/>
      <c r="G12" s="494"/>
      <c r="H12" s="494"/>
      <c r="I12" s="494">
        <f>SUM(I10:I11)</f>
        <v>9369.31</v>
      </c>
      <c r="J12" s="1356"/>
      <c r="K12" s="905"/>
    </row>
    <row r="13" spans="1:14" x14ac:dyDescent="0.2">
      <c r="A13" s="478">
        <v>2</v>
      </c>
      <c r="B13" s="479"/>
      <c r="C13" s="479"/>
      <c r="D13" s="495" t="s">
        <v>581</v>
      </c>
      <c r="E13" s="479"/>
      <c r="F13" s="496"/>
      <c r="G13" s="482"/>
      <c r="H13" s="482"/>
      <c r="I13" s="482"/>
      <c r="J13" s="483"/>
      <c r="K13" s="905"/>
    </row>
    <row r="14" spans="1:14" x14ac:dyDescent="0.2">
      <c r="A14" s="484" t="s">
        <v>24</v>
      </c>
      <c r="B14" s="1360" t="s">
        <v>576</v>
      </c>
      <c r="C14" s="1361"/>
      <c r="D14" s="488" t="s">
        <v>525</v>
      </c>
      <c r="E14" s="459" t="s">
        <v>49</v>
      </c>
      <c r="F14" s="497">
        <f>'Mem. Calc.'!E13</f>
        <v>1</v>
      </c>
      <c r="G14" s="487">
        <f>H14/1.2674</f>
        <v>20376.990000000002</v>
      </c>
      <c r="H14" s="487">
        <f>I14/F14</f>
        <v>25825.8</v>
      </c>
      <c r="I14" s="487">
        <v>25825.8</v>
      </c>
      <c r="J14" s="1355">
        <f>I15/I46</f>
        <v>4.0500000000000001E-2</v>
      </c>
      <c r="K14" s="905"/>
    </row>
    <row r="15" spans="1:14" x14ac:dyDescent="0.2">
      <c r="A15" s="490"/>
      <c r="B15" s="491"/>
      <c r="C15" s="491"/>
      <c r="D15" s="492" t="s">
        <v>7</v>
      </c>
      <c r="E15" s="491"/>
      <c r="F15" s="493"/>
      <c r="G15" s="494"/>
      <c r="H15" s="494"/>
      <c r="I15" s="494">
        <f>SUM(I14:I14)</f>
        <v>25825.8</v>
      </c>
      <c r="J15" s="1356"/>
      <c r="K15" s="905"/>
      <c r="L15" s="354"/>
    </row>
    <row r="16" spans="1:14" x14ac:dyDescent="0.2">
      <c r="A16" s="478">
        <v>3</v>
      </c>
      <c r="B16" s="479"/>
      <c r="C16" s="479"/>
      <c r="D16" s="495" t="s">
        <v>213</v>
      </c>
      <c r="E16" s="509"/>
      <c r="F16" s="510"/>
      <c r="G16" s="482"/>
      <c r="H16" s="482"/>
      <c r="I16" s="511"/>
      <c r="J16" s="512"/>
      <c r="K16" s="7"/>
    </row>
    <row r="17" spans="1:11" x14ac:dyDescent="0.2">
      <c r="A17" s="490" t="s">
        <v>25</v>
      </c>
      <c r="B17" s="491"/>
      <c r="C17" s="491"/>
      <c r="D17" s="513" t="s">
        <v>340</v>
      </c>
      <c r="E17" s="513"/>
      <c r="F17" s="513"/>
      <c r="G17" s="494"/>
      <c r="H17" s="494"/>
      <c r="I17" s="514"/>
      <c r="J17" s="1371">
        <f>(SUM(I17:I45)/2)/I46</f>
        <v>0.94479999999999997</v>
      </c>
      <c r="K17" s="7"/>
    </row>
    <row r="18" spans="1:11" ht="45" x14ac:dyDescent="0.2">
      <c r="A18" s="484" t="s">
        <v>38</v>
      </c>
      <c r="B18" s="516" t="s">
        <v>141</v>
      </c>
      <c r="C18" s="952" t="s">
        <v>392</v>
      </c>
      <c r="D18" s="517" t="s">
        <v>142</v>
      </c>
      <c r="E18" s="518" t="s">
        <v>539</v>
      </c>
      <c r="F18" s="519">
        <f>'Mem. Calc.'!E16</f>
        <v>3052.68</v>
      </c>
      <c r="G18" s="487">
        <v>1.29</v>
      </c>
      <c r="H18" s="487">
        <f>G18+G18*$J$6</f>
        <v>1.63</v>
      </c>
      <c r="I18" s="487">
        <f>F18*H18</f>
        <v>4975.87</v>
      </c>
      <c r="J18" s="1372"/>
      <c r="K18" s="7"/>
    </row>
    <row r="19" spans="1:11" ht="45" x14ac:dyDescent="0.2">
      <c r="A19" s="484" t="s">
        <v>582</v>
      </c>
      <c r="B19" s="489">
        <v>93589</v>
      </c>
      <c r="C19" s="952" t="s">
        <v>392</v>
      </c>
      <c r="D19" s="488" t="s">
        <v>727</v>
      </c>
      <c r="E19" s="808" t="s">
        <v>541</v>
      </c>
      <c r="F19" s="515">
        <f>'Mem. Calc.'!E17</f>
        <v>7021.16</v>
      </c>
      <c r="G19" s="487">
        <v>1.05</v>
      </c>
      <c r="H19" s="487">
        <f>G19+G19*$J$6</f>
        <v>1.33</v>
      </c>
      <c r="I19" s="487">
        <f>F19*H19</f>
        <v>9338.14</v>
      </c>
      <c r="J19" s="1372"/>
      <c r="K19" s="7"/>
    </row>
    <row r="20" spans="1:11" x14ac:dyDescent="0.2">
      <c r="A20" s="520"/>
      <c r="B20" s="521"/>
      <c r="C20" s="521"/>
      <c r="D20" s="522" t="s">
        <v>7</v>
      </c>
      <c r="E20" s="523"/>
      <c r="F20" s="524"/>
      <c r="G20" s="525"/>
      <c r="H20" s="525"/>
      <c r="I20" s="524">
        <f>SUM(I18:I19)</f>
        <v>14314.01</v>
      </c>
      <c r="J20" s="1372"/>
      <c r="K20" s="7"/>
    </row>
    <row r="21" spans="1:11" x14ac:dyDescent="0.2">
      <c r="A21" s="490" t="s">
        <v>26</v>
      </c>
      <c r="B21" s="491"/>
      <c r="C21" s="491"/>
      <c r="D21" s="513" t="s">
        <v>42</v>
      </c>
      <c r="E21" s="513"/>
      <c r="F21" s="513"/>
      <c r="G21" s="494"/>
      <c r="H21" s="494"/>
      <c r="I21" s="514"/>
      <c r="J21" s="1372"/>
      <c r="K21" s="7"/>
    </row>
    <row r="22" spans="1:11" ht="30" x14ac:dyDescent="0.2">
      <c r="A22" s="484" t="s">
        <v>149</v>
      </c>
      <c r="B22" s="489">
        <v>100577</v>
      </c>
      <c r="C22" s="489"/>
      <c r="D22" s="488" t="s">
        <v>677</v>
      </c>
      <c r="E22" s="459" t="s">
        <v>6</v>
      </c>
      <c r="F22" s="515">
        <f>'Mem. Calc.'!E19</f>
        <v>8721.93</v>
      </c>
      <c r="G22" s="487">
        <v>0.6</v>
      </c>
      <c r="H22" s="487">
        <f t="shared" ref="H22:H30" si="0">G22+G22*$J$6</f>
        <v>0.76</v>
      </c>
      <c r="I22" s="487">
        <f t="shared" ref="I22:I30" si="1">F22*H22</f>
        <v>6628.67</v>
      </c>
      <c r="J22" s="1372"/>
      <c r="K22" s="7"/>
    </row>
    <row r="23" spans="1:11" ht="45" x14ac:dyDescent="0.2">
      <c r="A23" s="484" t="s">
        <v>150</v>
      </c>
      <c r="B23" s="489" t="s">
        <v>542</v>
      </c>
      <c r="C23" s="952" t="s">
        <v>392</v>
      </c>
      <c r="D23" s="488" t="s">
        <v>543</v>
      </c>
      <c r="E23" s="459" t="s">
        <v>31</v>
      </c>
      <c r="F23" s="515">
        <f>'Mem. Calc.'!E20</f>
        <v>3052.68</v>
      </c>
      <c r="G23" s="487">
        <v>2.4900000000000002</v>
      </c>
      <c r="H23" s="487">
        <f t="shared" si="0"/>
        <v>3.16</v>
      </c>
      <c r="I23" s="487">
        <f t="shared" si="1"/>
        <v>9646.4699999999993</v>
      </c>
      <c r="J23" s="1372"/>
      <c r="K23" s="7"/>
    </row>
    <row r="24" spans="1:11" ht="45" x14ac:dyDescent="0.2">
      <c r="A24" s="484" t="s">
        <v>151</v>
      </c>
      <c r="B24" s="489">
        <v>93589</v>
      </c>
      <c r="C24" s="952" t="s">
        <v>392</v>
      </c>
      <c r="D24" s="517" t="s">
        <v>659</v>
      </c>
      <c r="E24" s="808" t="s">
        <v>541</v>
      </c>
      <c r="F24" s="515">
        <f>'Mem. Calc.'!E21</f>
        <v>3541.11</v>
      </c>
      <c r="G24" s="487">
        <v>1.05</v>
      </c>
      <c r="H24" s="487">
        <f t="shared" si="0"/>
        <v>1.33</v>
      </c>
      <c r="I24" s="487">
        <f t="shared" si="1"/>
        <v>4709.68</v>
      </c>
      <c r="J24" s="1372"/>
      <c r="K24" s="7"/>
    </row>
    <row r="25" spans="1:11" ht="45" x14ac:dyDescent="0.2">
      <c r="A25" s="484" t="s">
        <v>636</v>
      </c>
      <c r="B25" s="489">
        <v>93590</v>
      </c>
      <c r="C25" s="952" t="s">
        <v>392</v>
      </c>
      <c r="D25" s="517" t="s">
        <v>658</v>
      </c>
      <c r="E25" s="808" t="s">
        <v>541</v>
      </c>
      <c r="F25" s="515">
        <f>'Mem. Calc.'!E22</f>
        <v>58947.26</v>
      </c>
      <c r="G25" s="487">
        <f>H25/1.2674</f>
        <v>0.69</v>
      </c>
      <c r="H25" s="487">
        <f>I25/F25</f>
        <v>0.87</v>
      </c>
      <c r="I25" s="487">
        <v>51284.11</v>
      </c>
      <c r="J25" s="1372"/>
      <c r="K25" s="7"/>
    </row>
    <row r="26" spans="1:11" ht="30" x14ac:dyDescent="0.2">
      <c r="A26" s="484" t="s">
        <v>637</v>
      </c>
      <c r="B26" s="489">
        <v>4011219</v>
      </c>
      <c r="C26" s="504" t="s">
        <v>393</v>
      </c>
      <c r="D26" s="517" t="s">
        <v>730</v>
      </c>
      <c r="E26" s="459" t="s">
        <v>31</v>
      </c>
      <c r="F26" s="515">
        <f>'Mem. Calc.'!E23</f>
        <v>1744.38</v>
      </c>
      <c r="G26" s="487">
        <v>7.41</v>
      </c>
      <c r="H26" s="487">
        <f t="shared" si="0"/>
        <v>9.39</v>
      </c>
      <c r="I26" s="487">
        <f t="shared" si="1"/>
        <v>16379.73</v>
      </c>
      <c r="J26" s="1372"/>
      <c r="K26" s="7"/>
    </row>
    <row r="27" spans="1:11" ht="30" x14ac:dyDescent="0.2">
      <c r="A27" s="484" t="s">
        <v>638</v>
      </c>
      <c r="B27" s="489">
        <v>4011228</v>
      </c>
      <c r="C27" s="504" t="s">
        <v>393</v>
      </c>
      <c r="D27" s="517" t="s">
        <v>731</v>
      </c>
      <c r="E27" s="459" t="s">
        <v>31</v>
      </c>
      <c r="F27" s="515">
        <f>'Mem. Calc.'!E24</f>
        <v>1308.3</v>
      </c>
      <c r="G27" s="487">
        <v>7.82</v>
      </c>
      <c r="H27" s="487">
        <f t="shared" si="0"/>
        <v>9.91</v>
      </c>
      <c r="I27" s="487">
        <f t="shared" si="1"/>
        <v>12965.25</v>
      </c>
      <c r="J27" s="1372"/>
      <c r="K27" s="7"/>
    </row>
    <row r="28" spans="1:11" ht="15" customHeight="1" x14ac:dyDescent="0.2">
      <c r="A28" s="484" t="s">
        <v>639</v>
      </c>
      <c r="B28" s="1376" t="str">
        <f>COMPOSIÇÕES!A21</f>
        <v>COMPOSIÇÃO 03</v>
      </c>
      <c r="C28" s="1377"/>
      <c r="D28" s="517" t="s">
        <v>715</v>
      </c>
      <c r="E28" s="516" t="str">
        <f>COMPOSIÇÕES!F21</f>
        <v>M2</v>
      </c>
      <c r="F28" s="515">
        <f>'Mem. Calc.'!E25</f>
        <v>7896.8</v>
      </c>
      <c r="G28" s="487">
        <f>COMPOSIÇÕES!F33</f>
        <v>6.07</v>
      </c>
      <c r="H28" s="487">
        <f t="shared" si="0"/>
        <v>7.69</v>
      </c>
      <c r="I28" s="487">
        <f t="shared" si="1"/>
        <v>60726.39</v>
      </c>
      <c r="J28" s="1372"/>
      <c r="K28" s="7"/>
    </row>
    <row r="29" spans="1:11" ht="30" x14ac:dyDescent="0.2">
      <c r="A29" s="484" t="s">
        <v>640</v>
      </c>
      <c r="B29" s="1376" t="str">
        <f>COMPOSIÇÕES!A35</f>
        <v>COMPOSIÇÃO 04</v>
      </c>
      <c r="C29" s="1377"/>
      <c r="D29" s="517" t="s">
        <v>707</v>
      </c>
      <c r="E29" s="516" t="str">
        <f>COMPOSIÇÕES!F35</f>
        <v>M2</v>
      </c>
      <c r="F29" s="515">
        <f>'Mem. Calc.'!E26</f>
        <v>7896.8</v>
      </c>
      <c r="G29" s="487">
        <f>COMPOSIÇÕES!F52</f>
        <v>10.83</v>
      </c>
      <c r="H29" s="487">
        <f t="shared" si="0"/>
        <v>13.73</v>
      </c>
      <c r="I29" s="487">
        <f t="shared" si="1"/>
        <v>108423.06</v>
      </c>
      <c r="J29" s="1372"/>
      <c r="K29" s="7"/>
    </row>
    <row r="30" spans="1:11" ht="60" x14ac:dyDescent="0.2">
      <c r="A30" s="484" t="s">
        <v>641</v>
      </c>
      <c r="B30" s="504">
        <v>93176</v>
      </c>
      <c r="C30" s="952" t="s">
        <v>392</v>
      </c>
      <c r="D30" s="517" t="s">
        <v>675</v>
      </c>
      <c r="E30" s="518" t="s">
        <v>239</v>
      </c>
      <c r="F30" s="515">
        <f>'Mem. Calc.'!E27</f>
        <v>8528.4</v>
      </c>
      <c r="G30" s="487">
        <v>0.49</v>
      </c>
      <c r="H30" s="487">
        <f t="shared" si="0"/>
        <v>0.62</v>
      </c>
      <c r="I30" s="487">
        <f t="shared" si="1"/>
        <v>5287.61</v>
      </c>
      <c r="J30" s="1372"/>
      <c r="K30" s="7"/>
    </row>
    <row r="31" spans="1:11" ht="29.25" x14ac:dyDescent="0.2">
      <c r="A31" s="484" t="s">
        <v>642</v>
      </c>
      <c r="B31" s="504">
        <v>83356</v>
      </c>
      <c r="C31" s="952" t="s">
        <v>392</v>
      </c>
      <c r="D31" s="517" t="s">
        <v>676</v>
      </c>
      <c r="E31" s="518" t="s">
        <v>599</v>
      </c>
      <c r="F31" s="515">
        <f>'Mem. Calc.'!E28</f>
        <v>18540.560000000001</v>
      </c>
      <c r="G31" s="487">
        <f>H31/1.2674</f>
        <v>0.69</v>
      </c>
      <c r="H31" s="487">
        <f>I31/F31</f>
        <v>0.87</v>
      </c>
      <c r="I31" s="487">
        <v>16130.28</v>
      </c>
      <c r="J31" s="1372"/>
      <c r="K31" s="7"/>
    </row>
    <row r="32" spans="1:11" x14ac:dyDescent="0.2">
      <c r="A32" s="490"/>
      <c r="B32" s="498"/>
      <c r="C32" s="498"/>
      <c r="D32" s="499" t="s">
        <v>7</v>
      </c>
      <c r="E32" s="498"/>
      <c r="F32" s="500"/>
      <c r="G32" s="494"/>
      <c r="H32" s="494"/>
      <c r="I32" s="500">
        <f>SUM(I22:I31)</f>
        <v>292181.25</v>
      </c>
      <c r="J32" s="1372"/>
      <c r="K32" s="7"/>
    </row>
    <row r="33" spans="1:13" x14ac:dyDescent="0.2">
      <c r="A33" s="490" t="s">
        <v>27</v>
      </c>
      <c r="B33" s="491"/>
      <c r="C33" s="491"/>
      <c r="D33" s="508" t="s">
        <v>387</v>
      </c>
      <c r="E33" s="498"/>
      <c r="F33" s="499"/>
      <c r="G33" s="494"/>
      <c r="H33" s="494"/>
      <c r="I33" s="514"/>
      <c r="J33" s="1372"/>
      <c r="K33" s="7"/>
    </row>
    <row r="34" spans="1:13" ht="57" x14ac:dyDescent="0.2">
      <c r="A34" s="484" t="s">
        <v>39</v>
      </c>
      <c r="B34" s="915">
        <v>94267</v>
      </c>
      <c r="C34" s="952" t="s">
        <v>392</v>
      </c>
      <c r="D34" s="914" t="s">
        <v>600</v>
      </c>
      <c r="E34" s="489" t="s">
        <v>5</v>
      </c>
      <c r="F34" s="501">
        <f>'Mem. Calc.'!E30</f>
        <v>1807.11</v>
      </c>
      <c r="G34" s="487">
        <v>37.81</v>
      </c>
      <c r="H34" s="487">
        <f>G34+G34*$J$6</f>
        <v>47.92</v>
      </c>
      <c r="I34" s="487">
        <f>F34*H34</f>
        <v>86596.71</v>
      </c>
      <c r="J34" s="1372"/>
      <c r="K34" s="7"/>
      <c r="M34" s="354"/>
    </row>
    <row r="35" spans="1:13" ht="57" x14ac:dyDescent="0.2">
      <c r="A35" s="484" t="s">
        <v>152</v>
      </c>
      <c r="B35" s="915">
        <v>94268</v>
      </c>
      <c r="C35" s="952" t="s">
        <v>392</v>
      </c>
      <c r="D35" s="914" t="s">
        <v>601</v>
      </c>
      <c r="E35" s="489" t="s">
        <v>5</v>
      </c>
      <c r="F35" s="501">
        <f>'Mem. Calc.'!E31</f>
        <v>134.94</v>
      </c>
      <c r="G35" s="487">
        <f>H35/1.2674</f>
        <v>41.07</v>
      </c>
      <c r="H35" s="487">
        <f>I35/F35</f>
        <v>52.05</v>
      </c>
      <c r="I35" s="487">
        <v>7023.62</v>
      </c>
      <c r="J35" s="1372"/>
      <c r="K35" s="7"/>
      <c r="L35" s="995"/>
      <c r="M35" s="354"/>
    </row>
    <row r="36" spans="1:13" ht="30" x14ac:dyDescent="0.2">
      <c r="A36" s="484" t="s">
        <v>240</v>
      </c>
      <c r="B36" s="489">
        <v>94098</v>
      </c>
      <c r="C36" s="952" t="s">
        <v>392</v>
      </c>
      <c r="D36" s="507" t="s">
        <v>419</v>
      </c>
      <c r="E36" s="489" t="s">
        <v>6</v>
      </c>
      <c r="F36" s="501">
        <f>'Mem. Calc.'!E32</f>
        <v>2866.76</v>
      </c>
      <c r="G36" s="487">
        <v>4.7699999999999996</v>
      </c>
      <c r="H36" s="487">
        <f>G36+G36*$J$6</f>
        <v>6.05</v>
      </c>
      <c r="I36" s="487">
        <f>F36*H36</f>
        <v>17343.900000000001</v>
      </c>
      <c r="J36" s="1372"/>
      <c r="K36" s="7"/>
      <c r="L36" s="995"/>
      <c r="M36" s="354"/>
    </row>
    <row r="37" spans="1:13" ht="45" x14ac:dyDescent="0.2">
      <c r="A37" s="484" t="s">
        <v>245</v>
      </c>
      <c r="B37" s="489">
        <v>94990</v>
      </c>
      <c r="C37" s="952" t="s">
        <v>392</v>
      </c>
      <c r="D37" s="507" t="s">
        <v>422</v>
      </c>
      <c r="E37" s="489" t="s">
        <v>31</v>
      </c>
      <c r="F37" s="501">
        <f>CALÇADA!C17</f>
        <v>143.33000000000001</v>
      </c>
      <c r="G37" s="487">
        <v>530.16</v>
      </c>
      <c r="H37" s="487">
        <f>G37+G37*$J$6</f>
        <v>671.92</v>
      </c>
      <c r="I37" s="487">
        <f>F37*H37</f>
        <v>96306.29</v>
      </c>
      <c r="J37" s="1372"/>
      <c r="K37" s="7"/>
      <c r="M37" s="354"/>
    </row>
    <row r="38" spans="1:13" ht="45" x14ac:dyDescent="0.2">
      <c r="A38" s="484" t="s">
        <v>246</v>
      </c>
      <c r="B38" s="1376" t="str">
        <f>COMPOSIÇÕES!A80</f>
        <v>COMPOSIÇÃO 07</v>
      </c>
      <c r="C38" s="1377"/>
      <c r="D38" s="505" t="s">
        <v>482</v>
      </c>
      <c r="E38" s="504" t="str">
        <f>COMPOSIÇÕES!F80</f>
        <v>UND</v>
      </c>
      <c r="F38" s="526">
        <f>'Mem. Calc.'!E34</f>
        <v>7768</v>
      </c>
      <c r="G38" s="487">
        <f>COMPOSIÇÕES!F89</f>
        <v>7.53</v>
      </c>
      <c r="H38" s="487">
        <f>G38+G38*$J$6</f>
        <v>9.5399999999999991</v>
      </c>
      <c r="I38" s="487">
        <f>F38*H38</f>
        <v>74106.720000000001</v>
      </c>
      <c r="J38" s="1372"/>
      <c r="K38" s="7"/>
      <c r="M38" s="354"/>
    </row>
    <row r="39" spans="1:13" x14ac:dyDescent="0.2">
      <c r="A39" s="520"/>
      <c r="B39" s="491"/>
      <c r="C39" s="491"/>
      <c r="D39" s="499" t="s">
        <v>7</v>
      </c>
      <c r="E39" s="498"/>
      <c r="F39" s="500"/>
      <c r="G39" s="494"/>
      <c r="H39" s="494"/>
      <c r="I39" s="500">
        <f>+SUM(I34:I38)</f>
        <v>281377.24</v>
      </c>
      <c r="J39" s="1372"/>
      <c r="K39" s="7"/>
      <c r="M39" s="354"/>
    </row>
    <row r="40" spans="1:13" x14ac:dyDescent="0.2">
      <c r="A40" s="490" t="s">
        <v>28</v>
      </c>
      <c r="B40" s="491"/>
      <c r="C40" s="491"/>
      <c r="D40" s="513" t="s">
        <v>135</v>
      </c>
      <c r="E40" s="513"/>
      <c r="F40" s="513"/>
      <c r="G40" s="494"/>
      <c r="H40" s="494"/>
      <c r="I40" s="514"/>
      <c r="J40" s="1372"/>
      <c r="K40" s="7"/>
      <c r="M40" s="354"/>
    </row>
    <row r="41" spans="1:13" ht="30" x14ac:dyDescent="0.2">
      <c r="A41" s="503" t="s">
        <v>40</v>
      </c>
      <c r="B41" s="1376" t="str">
        <f>COMPOSIÇÕES!A54</f>
        <v>COMPOSIÇÃO 05</v>
      </c>
      <c r="C41" s="1377"/>
      <c r="D41" s="505" t="s">
        <v>558</v>
      </c>
      <c r="E41" s="504" t="str">
        <f>COMPOSIÇÕES!F54</f>
        <v>UND</v>
      </c>
      <c r="F41" s="526">
        <f>'Mem. Calc.'!E36</f>
        <v>28</v>
      </c>
      <c r="G41" s="487">
        <f>COMPOSIÇÕES!F66</f>
        <v>89.58</v>
      </c>
      <c r="H41" s="487">
        <f>G41+G41*$J$6</f>
        <v>113.53</v>
      </c>
      <c r="I41" s="487">
        <f>F41*H41</f>
        <v>3178.84</v>
      </c>
      <c r="J41" s="1372"/>
      <c r="K41" s="7"/>
      <c r="M41" s="354"/>
    </row>
    <row r="42" spans="1:13" ht="30" x14ac:dyDescent="0.2">
      <c r="A42" s="503" t="s">
        <v>643</v>
      </c>
      <c r="B42" s="1376" t="str">
        <f>COMPOSIÇÕES!A68</f>
        <v>COMPOSIÇÃO 06</v>
      </c>
      <c r="C42" s="1377"/>
      <c r="D42" s="505" t="s">
        <v>569</v>
      </c>
      <c r="E42" s="504" t="str">
        <f>COMPOSIÇÕES!F68</f>
        <v>M2</v>
      </c>
      <c r="F42" s="526">
        <f>'Mem. Calc.'!E37</f>
        <v>3.63</v>
      </c>
      <c r="G42" s="487">
        <f>COMPOSIÇÕES!F78</f>
        <v>699.31</v>
      </c>
      <c r="H42" s="487">
        <f>G42+G42*$J$6</f>
        <v>886.31</v>
      </c>
      <c r="I42" s="487">
        <f>F42*H42</f>
        <v>3217.31</v>
      </c>
      <c r="J42" s="1372"/>
      <c r="K42" s="7"/>
      <c r="M42" s="354"/>
    </row>
    <row r="43" spans="1:13" ht="44.25" x14ac:dyDescent="0.2">
      <c r="A43" s="503" t="s">
        <v>644</v>
      </c>
      <c r="B43" s="489">
        <v>5213477</v>
      </c>
      <c r="C43" s="489" t="s">
        <v>393</v>
      </c>
      <c r="D43" s="505" t="s">
        <v>661</v>
      </c>
      <c r="E43" s="504" t="s">
        <v>49</v>
      </c>
      <c r="F43" s="526">
        <f>'Mem. Calc.'!E38</f>
        <v>13</v>
      </c>
      <c r="G43" s="487">
        <v>108.32</v>
      </c>
      <c r="H43" s="487">
        <f>G43+G43*$J$6</f>
        <v>137.28</v>
      </c>
      <c r="I43" s="487">
        <f>F43*H43</f>
        <v>1784.64</v>
      </c>
      <c r="J43" s="1372"/>
      <c r="K43" s="7"/>
      <c r="M43" s="257"/>
    </row>
    <row r="44" spans="1:13" ht="30" x14ac:dyDescent="0.2">
      <c r="A44" s="503" t="s">
        <v>645</v>
      </c>
      <c r="B44" s="489">
        <v>72947</v>
      </c>
      <c r="C44" s="952" t="s">
        <v>392</v>
      </c>
      <c r="D44" s="505" t="s">
        <v>546</v>
      </c>
      <c r="E44" s="504" t="s">
        <v>538</v>
      </c>
      <c r="F44" s="526">
        <f>'Mem. Calc.'!E39</f>
        <v>471.85</v>
      </c>
      <c r="G44" s="487">
        <v>11.4</v>
      </c>
      <c r="H44" s="487">
        <f>G44+G44*$J$6</f>
        <v>14.45</v>
      </c>
      <c r="I44" s="487">
        <f>F44*H44</f>
        <v>6818.23</v>
      </c>
      <c r="J44" s="1372"/>
      <c r="K44" s="7"/>
    </row>
    <row r="45" spans="1:13" x14ac:dyDescent="0.2">
      <c r="A45" s="490"/>
      <c r="B45" s="491"/>
      <c r="C45" s="491"/>
      <c r="D45" s="499" t="s">
        <v>7</v>
      </c>
      <c r="E45" s="498"/>
      <c r="F45" s="500"/>
      <c r="G45" s="494"/>
      <c r="H45" s="494"/>
      <c r="I45" s="500">
        <f>SUM(I41:I44)</f>
        <v>14999.02</v>
      </c>
      <c r="J45" s="1373"/>
      <c r="K45" s="7"/>
    </row>
    <row r="46" spans="1:13" ht="38.25" customHeight="1" thickBot="1" x14ac:dyDescent="0.25">
      <c r="A46" s="1374" t="s">
        <v>148</v>
      </c>
      <c r="B46" s="1375"/>
      <c r="C46" s="1375"/>
      <c r="D46" s="1375"/>
      <c r="E46" s="1375"/>
      <c r="F46" s="1375"/>
      <c r="G46" s="1375"/>
      <c r="H46" s="907"/>
      <c r="I46" s="527">
        <f>SUM(I10:I45)/2</f>
        <v>638066.63</v>
      </c>
      <c r="J46" s="528">
        <f>J17+J14+J10</f>
        <v>1</v>
      </c>
      <c r="L46" s="352"/>
      <c r="M46" s="354"/>
    </row>
    <row r="47" spans="1:13" x14ac:dyDescent="0.2">
      <c r="L47" s="354"/>
    </row>
    <row r="48" spans="1:13" x14ac:dyDescent="0.2">
      <c r="L48" s="354"/>
    </row>
    <row r="49" spans="1:14" x14ac:dyDescent="0.2">
      <c r="A49" s="244"/>
      <c r="B49" s="912" t="str">
        <f>Terrap.!B20</f>
        <v xml:space="preserve">Vinicius Ferreira Fava </v>
      </c>
      <c r="C49" s="244"/>
      <c r="L49" s="260"/>
      <c r="M49" s="257"/>
    </row>
    <row r="50" spans="1:14" x14ac:dyDescent="0.2">
      <c r="A50" s="244"/>
      <c r="B50" s="912" t="str">
        <f>Terrap.!B21</f>
        <v>ENGº CIVIL</v>
      </c>
      <c r="C50" s="244"/>
      <c r="L50" s="260"/>
      <c r="N50" s="257"/>
    </row>
    <row r="51" spans="1:14" x14ac:dyDescent="0.2">
      <c r="A51" s="244"/>
      <c r="B51" s="912" t="str">
        <f>Terrap.!B22</f>
        <v>Crea: 121.286.161-2</v>
      </c>
      <c r="C51" s="244"/>
      <c r="L51" s="257"/>
    </row>
    <row r="52" spans="1:14" x14ac:dyDescent="0.2">
      <c r="A52" s="244"/>
      <c r="B52" s="244"/>
      <c r="C52" s="244"/>
    </row>
    <row r="53" spans="1:14" x14ac:dyDescent="0.2">
      <c r="A53" s="244"/>
      <c r="B53" s="244"/>
      <c r="C53" s="244"/>
    </row>
    <row r="54" spans="1:14" x14ac:dyDescent="0.2">
      <c r="A54" s="244"/>
      <c r="B54" s="244"/>
      <c r="C54" s="244"/>
      <c r="J54" s="454"/>
      <c r="L54" s="354"/>
    </row>
    <row r="55" spans="1:14" x14ac:dyDescent="0.2">
      <c r="A55" s="244"/>
      <c r="B55" s="244"/>
      <c r="C55" s="244"/>
      <c r="J55" s="454"/>
      <c r="L55" s="354"/>
    </row>
    <row r="56" spans="1:14" x14ac:dyDescent="0.2">
      <c r="A56" s="244"/>
      <c r="B56" s="244"/>
      <c r="C56" s="244"/>
      <c r="J56" s="454"/>
      <c r="L56" s="581"/>
    </row>
    <row r="57" spans="1:14" x14ac:dyDescent="0.2">
      <c r="A57" s="244"/>
      <c r="B57" s="244"/>
      <c r="C57" s="244"/>
      <c r="L57" s="257"/>
    </row>
  </sheetData>
  <mergeCells count="20">
    <mergeCell ref="J17:J45"/>
    <mergeCell ref="A46:G46"/>
    <mergeCell ref="B28:C28"/>
    <mergeCell ref="B29:C29"/>
    <mergeCell ref="B38:C38"/>
    <mergeCell ref="B41:C41"/>
    <mergeCell ref="B42:C42"/>
    <mergeCell ref="A1:J1"/>
    <mergeCell ref="A2:J2"/>
    <mergeCell ref="J14:J15"/>
    <mergeCell ref="F3:F5"/>
    <mergeCell ref="B6:E6"/>
    <mergeCell ref="J10:J12"/>
    <mergeCell ref="B14:C14"/>
    <mergeCell ref="G3:J5"/>
    <mergeCell ref="B3:E3"/>
    <mergeCell ref="B4:E4"/>
    <mergeCell ref="B5:E5"/>
    <mergeCell ref="A7:J7"/>
    <mergeCell ref="B11:C11"/>
  </mergeCells>
  <phoneticPr fontId="0" type="noConversion"/>
  <conditionalFormatting sqref="D34:D35">
    <cfRule type="cellIs" dxfId="2" priority="2" stopIfTrue="1" operator="equal">
      <formula>0</formula>
    </cfRule>
  </conditionalFormatting>
  <conditionalFormatting sqref="B34:B35">
    <cfRule type="cellIs" dxfId="1" priority="1" stopIfTrue="1" operator="equal">
      <formula>0</formula>
    </cfRule>
  </conditionalFormatting>
  <pageMargins left="0.19685039370078741" right="0.19685039370078741" top="0.78740157480314965" bottom="0.39370078740157483" header="0.31496062992125984" footer="0.31496062992125984"/>
  <pageSetup paperSize="9" scale="76" fitToHeight="0" orientation="landscape" r:id="rId1"/>
  <headerFooter alignWithMargins="0"/>
  <rowBreaks count="2" manualBreakCount="2">
    <brk id="25" max="9" man="1"/>
    <brk id="3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H80"/>
  <sheetViews>
    <sheetView view="pageBreakPreview" topLeftCell="A7" zoomScale="115" zoomScaleSheetLayoutView="115" workbookViewId="0">
      <selection activeCell="G19" sqref="G19"/>
    </sheetView>
  </sheetViews>
  <sheetFormatPr defaultRowHeight="12.75" x14ac:dyDescent="0.2"/>
  <cols>
    <col min="1" max="1" width="10" style="108" customWidth="1"/>
    <col min="2" max="2" width="62.42578125" style="108" customWidth="1"/>
    <col min="3" max="3" width="15.5703125" style="108" customWidth="1"/>
    <col min="4" max="4" width="14.28515625" style="108" customWidth="1"/>
    <col min="5" max="5" width="16.5703125" style="108" customWidth="1"/>
    <col min="6" max="6" width="13.140625" style="108" customWidth="1"/>
    <col min="7" max="7" width="13.85546875" style="108" customWidth="1"/>
    <col min="8" max="8" width="9.28515625" style="108" bestFit="1" customWidth="1"/>
    <col min="9" max="16384" width="9.140625" style="108"/>
  </cols>
  <sheetData>
    <row r="1" spans="1:6" ht="18.75" x14ac:dyDescent="0.2">
      <c r="A1" s="1288" t="str">
        <f>Terrap.!A1</f>
        <v>ESTADO DE MATO GROSSO</v>
      </c>
      <c r="B1" s="1289"/>
      <c r="C1" s="1289"/>
      <c r="D1" s="1289"/>
      <c r="E1" s="1289"/>
      <c r="F1" s="1290"/>
    </row>
    <row r="2" spans="1:6" ht="18.75" x14ac:dyDescent="0.2">
      <c r="A2" s="1291" t="str">
        <f>Terrap.!A2</f>
        <v xml:space="preserve">PREFEITURA MUNICIPAL DE BARRA DO BUGRES </v>
      </c>
      <c r="B2" s="1292"/>
      <c r="C2" s="1292"/>
      <c r="D2" s="1292"/>
      <c r="E2" s="1292"/>
      <c r="F2" s="1293"/>
    </row>
    <row r="3" spans="1:6" s="384" customFormat="1" ht="15" x14ac:dyDescent="0.2">
      <c r="A3" s="378" t="s">
        <v>8</v>
      </c>
      <c r="B3" s="408" t="str">
        <f>Terrap.!B3</f>
        <v>PAVIMENTAÇÃO ASFALTICA E DRENAGEM DE AGUAS PLUVIAIS</v>
      </c>
      <c r="C3" s="408"/>
      <c r="D3" s="1381" t="str">
        <f>Terrap.!H6</f>
        <v>TABELA:</v>
      </c>
      <c r="E3" s="1381"/>
      <c r="F3" s="255" t="str">
        <f>Terrap.!E6</f>
        <v>BDI:</v>
      </c>
    </row>
    <row r="4" spans="1:6" s="384" customFormat="1" ht="15" x14ac:dyDescent="0.2">
      <c r="A4" s="378" t="s">
        <v>22</v>
      </c>
      <c r="B4" s="408" t="str">
        <f>Terrap.!B4</f>
        <v>DIVERSAS RUAS - PERIMETRO URBANO</v>
      </c>
      <c r="C4" s="460" t="s">
        <v>370</v>
      </c>
      <c r="D4" s="1020" t="str">
        <f>Terrap.!I3</f>
        <v>SINAPI - MARÇO / 2020                                                                                                                               ANP - NOV/2019 (desonerado) SICRO OUT/2019</v>
      </c>
      <c r="E4" s="1020"/>
      <c r="F4" s="1300">
        <f>Terrap.!F6</f>
        <v>0.26740000000000003</v>
      </c>
    </row>
    <row r="5" spans="1:6" s="384" customFormat="1" ht="15" x14ac:dyDescent="0.2">
      <c r="A5" s="383" t="s">
        <v>58</v>
      </c>
      <c r="B5" s="408" t="str">
        <f>Terrap.!B5</f>
        <v xml:space="preserve">PREFEITURA MUNICIPAL DE BARRA DO BUGRES </v>
      </c>
      <c r="C5" s="1302" t="str">
        <f>Terrap.!F5</f>
        <v>maio 2020</v>
      </c>
      <c r="D5" s="1020"/>
      <c r="E5" s="1020"/>
      <c r="F5" s="1300"/>
    </row>
    <row r="6" spans="1:6" s="384" customFormat="1" ht="15.75" thickBot="1" x14ac:dyDescent="0.25">
      <c r="A6" s="380" t="s">
        <v>43</v>
      </c>
      <c r="B6" s="409">
        <f>Terrap.!C18</f>
        <v>8721.93</v>
      </c>
      <c r="C6" s="1303"/>
      <c r="D6" s="1022"/>
      <c r="E6" s="1022"/>
      <c r="F6" s="1301"/>
    </row>
    <row r="7" spans="1:6" ht="19.5" thickBot="1" x14ac:dyDescent="0.25">
      <c r="A7" s="1295" t="s">
        <v>19</v>
      </c>
      <c r="B7" s="1296"/>
      <c r="C7" s="1296"/>
      <c r="D7" s="1296"/>
      <c r="E7" s="1380"/>
      <c r="F7" s="1297"/>
    </row>
    <row r="8" spans="1:6" x14ac:dyDescent="0.2">
      <c r="A8" s="585" t="s">
        <v>0</v>
      </c>
      <c r="B8" s="1378" t="s">
        <v>20</v>
      </c>
      <c r="C8" s="1378"/>
      <c r="D8" s="1378"/>
      <c r="E8" s="586" t="s">
        <v>21</v>
      </c>
      <c r="F8" s="587" t="s">
        <v>15</v>
      </c>
    </row>
    <row r="9" spans="1:6" x14ac:dyDescent="0.2">
      <c r="A9" s="588"/>
      <c r="B9" s="1382"/>
      <c r="C9" s="1382"/>
      <c r="D9" s="1382"/>
      <c r="E9" s="589"/>
      <c r="F9" s="590"/>
    </row>
    <row r="10" spans="1:6" x14ac:dyDescent="0.2">
      <c r="A10" s="591">
        <v>1</v>
      </c>
      <c r="B10" s="1379" t="str">
        <f>Orçam.!D9</f>
        <v>SERVIÇOS PRELIMINARES</v>
      </c>
      <c r="C10" s="1379"/>
      <c r="D10" s="1379"/>
      <c r="E10" s="592">
        <f>Orçam.!I12</f>
        <v>9369.31</v>
      </c>
      <c r="F10" s="593">
        <f>E10/E$25</f>
        <v>1.47E-2</v>
      </c>
    </row>
    <row r="11" spans="1:6" x14ac:dyDescent="0.2">
      <c r="A11" s="594"/>
      <c r="B11" s="1382"/>
      <c r="C11" s="1382"/>
      <c r="D11" s="1382"/>
      <c r="E11" s="589"/>
      <c r="F11" s="593"/>
    </row>
    <row r="12" spans="1:6" x14ac:dyDescent="0.2">
      <c r="A12" s="591">
        <v>2</v>
      </c>
      <c r="B12" s="1379" t="str">
        <f>Orçam.!D13</f>
        <v>ADMINISTRAÇÃO DE CANTEIRO DE OBRA</v>
      </c>
      <c r="C12" s="1379"/>
      <c r="D12" s="1379"/>
      <c r="E12" s="592">
        <f>Orçam.!I15</f>
        <v>25825.8</v>
      </c>
      <c r="F12" s="593">
        <f>E12/E$25</f>
        <v>4.0500000000000001E-2</v>
      </c>
    </row>
    <row r="13" spans="1:6" x14ac:dyDescent="0.2">
      <c r="A13" s="594"/>
      <c r="B13" s="1382"/>
      <c r="C13" s="1382"/>
      <c r="D13" s="1382"/>
      <c r="E13" s="589"/>
      <c r="F13" s="593"/>
    </row>
    <row r="14" spans="1:6" x14ac:dyDescent="0.2">
      <c r="A14" s="591">
        <f>Orçam.!$A$16</f>
        <v>3</v>
      </c>
      <c r="B14" s="1379" t="str">
        <f>Orçam.!D16</f>
        <v>PAVIMENTAÇÃO EM TSD</v>
      </c>
      <c r="C14" s="1379"/>
      <c r="D14" s="1379"/>
      <c r="E14" s="589"/>
      <c r="F14" s="593"/>
    </row>
    <row r="15" spans="1:6" x14ac:dyDescent="0.2">
      <c r="A15" s="595" t="str">
        <f>Orçam.!$A$17</f>
        <v>3.1</v>
      </c>
      <c r="B15" s="1382" t="str">
        <f>Orçam.!D17</f>
        <v>TERRAPLENAGEM</v>
      </c>
      <c r="C15" s="1382"/>
      <c r="D15" s="1382"/>
      <c r="E15" s="597">
        <f>Orçam.!I20</f>
        <v>14314.01</v>
      </c>
      <c r="F15" s="593">
        <f>E15/E$25</f>
        <v>2.24E-2</v>
      </c>
    </row>
    <row r="16" spans="1:6" x14ac:dyDescent="0.2">
      <c r="A16" s="595" t="str">
        <f>Orçam.!$A$21</f>
        <v>3.2</v>
      </c>
      <c r="B16" s="1382" t="str">
        <f>Orçam.!D21</f>
        <v>PAVIMENTAÇÃO</v>
      </c>
      <c r="C16" s="1382"/>
      <c r="D16" s="1382"/>
      <c r="E16" s="596">
        <f>Orçam.!I32</f>
        <v>292181.25</v>
      </c>
      <c r="F16" s="593">
        <f>E16/E$25</f>
        <v>0.45789999999999997</v>
      </c>
    </row>
    <row r="17" spans="1:8" x14ac:dyDescent="0.2">
      <c r="A17" s="595" t="str">
        <f>Orçam.!$A$33</f>
        <v>3.3</v>
      </c>
      <c r="B17" s="1382" t="str">
        <f>Orçam.!D33</f>
        <v>OBRAS COMPLEMENTARES</v>
      </c>
      <c r="C17" s="1382"/>
      <c r="D17" s="1382"/>
      <c r="E17" s="597">
        <f>SUM(E18:E22)</f>
        <v>281377.24</v>
      </c>
      <c r="F17" s="593"/>
    </row>
    <row r="18" spans="1:8" ht="26.25" customHeight="1" x14ac:dyDescent="0.2">
      <c r="A18" s="619" t="s">
        <v>39</v>
      </c>
      <c r="B18" s="1384" t="str">
        <f>Orçam.!D34</f>
        <v>GUIA (MEIO-FIO) E SARJETA CONJUGADOS DE CONCRETO, MOLDADA IN LOCO EM TRECHO RETO COM EXTRUSORA, 45 CM BASE (15 CM BASE DA GUIA + 30 CM BASE DA SARJETA) X 22 CM ALTURA. AF_06/2016</v>
      </c>
      <c r="C18" s="1385"/>
      <c r="D18" s="1386"/>
      <c r="E18" s="597">
        <f>Orçam.!I34</f>
        <v>86596.71</v>
      </c>
      <c r="F18" s="593">
        <f t="shared" ref="F18:F22" si="0">E18/E$25</f>
        <v>0.13569999999999999</v>
      </c>
    </row>
    <row r="19" spans="1:8" ht="26.25" customHeight="1" x14ac:dyDescent="0.2">
      <c r="A19" s="619" t="s">
        <v>152</v>
      </c>
      <c r="B19" s="1384" t="str">
        <f>Orçam.!D35</f>
        <v>GUIA (MEIO-FIO) E SARJETA CONJUGADOS DE CONCRETO, MOLDADA IN LOCO EM TRECHO CURVO COM EXTRUSORA, 45 CM BASE (15 CM BASE DA GUIA + 30 CM BASE DA SARJETA) X 22 CM ALTURA. AF_06/2016</v>
      </c>
      <c r="C19" s="1385"/>
      <c r="D19" s="1386"/>
      <c r="E19" s="597">
        <f>Orçam.!I35</f>
        <v>7023.62</v>
      </c>
      <c r="F19" s="593">
        <f t="shared" si="0"/>
        <v>1.0999999999999999E-2</v>
      </c>
    </row>
    <row r="20" spans="1:8" ht="28.5" customHeight="1" x14ac:dyDescent="0.2">
      <c r="A20" s="619" t="s">
        <v>240</v>
      </c>
      <c r="B20" s="1384" t="str">
        <f>Orçam.!D36</f>
        <v>PREPARO DE FUNDO DE VALA COM LARGURA MENOR QUE 1,5 M, EM LOCAL COM NÍVEL ALTO DE INTERFERÊNCIA. AF_06/2016</v>
      </c>
      <c r="C20" s="1385"/>
      <c r="D20" s="1386"/>
      <c r="E20" s="597">
        <f>Orçam.!I36</f>
        <v>17343.900000000001</v>
      </c>
      <c r="F20" s="593">
        <f t="shared" si="0"/>
        <v>2.7199999999999998E-2</v>
      </c>
    </row>
    <row r="21" spans="1:8" ht="26.25" customHeight="1" x14ac:dyDescent="0.2">
      <c r="A21" s="619" t="s">
        <v>245</v>
      </c>
      <c r="B21" s="1384" t="str">
        <f>Orçam.!D37</f>
        <v>EXECUÇÃO DE PASSEIO (CALÇADA) OU PISO DE CONCRETO COM CONCRETO MOLDADO IN LOCO, FEITO EM OBRA, ACABAMENTO CONVENCIONAL, NÃO ARMADO. AF_07/2016</v>
      </c>
      <c r="C21" s="1385"/>
      <c r="D21" s="1386"/>
      <c r="E21" s="597">
        <f>Orçam.!I37</f>
        <v>96306.29</v>
      </c>
      <c r="F21" s="593">
        <f t="shared" si="0"/>
        <v>0.15090000000000001</v>
      </c>
    </row>
    <row r="22" spans="1:8" ht="26.25" customHeight="1" x14ac:dyDescent="0.2">
      <c r="A22" s="619" t="str">
        <f>Orçam.!A38</f>
        <v>3.3.5</v>
      </c>
      <c r="B22" s="999" t="str">
        <f>Orçam.!D38</f>
        <v>PISO TÁTIL DIRECIONAL E/OU ALERTA, DE CONCRETO, NA COR NATURAL, P/DEFICIENTES VISUAIS, DIMENSÕES 25X25CM, APLICADO COM ARGAMASSA AC-II</v>
      </c>
      <c r="C22" s="1000"/>
      <c r="D22" s="1001"/>
      <c r="E22" s="597">
        <f>Orçam.!I38</f>
        <v>74106.720000000001</v>
      </c>
      <c r="F22" s="593">
        <f t="shared" si="0"/>
        <v>0.11609999999999999</v>
      </c>
    </row>
    <row r="23" spans="1:8" x14ac:dyDescent="0.2">
      <c r="A23" s="595" t="str">
        <f>Orçam.!$A$40</f>
        <v>3.4</v>
      </c>
      <c r="B23" s="1382" t="str">
        <f>Orçam.!D40</f>
        <v>SINALIZAÇÃO VIÁRIA</v>
      </c>
      <c r="C23" s="1382"/>
      <c r="D23" s="1382"/>
      <c r="E23" s="597">
        <f>Orçam.!I45</f>
        <v>14999.02</v>
      </c>
      <c r="F23" s="593">
        <f>E23/E$25</f>
        <v>2.35E-2</v>
      </c>
    </row>
    <row r="24" spans="1:8" x14ac:dyDescent="0.2">
      <c r="A24" s="594"/>
      <c r="B24" s="1382"/>
      <c r="C24" s="1382"/>
      <c r="D24" s="1382"/>
      <c r="E24" s="596"/>
      <c r="F24" s="593"/>
    </row>
    <row r="25" spans="1:8" ht="16.5" thickBot="1" x14ac:dyDescent="0.25">
      <c r="A25" s="598"/>
      <c r="B25" s="1383" t="s">
        <v>13</v>
      </c>
      <c r="C25" s="1383"/>
      <c r="D25" s="1383"/>
      <c r="E25" s="599">
        <f>SUM(E10:E24)-E17</f>
        <v>638066.63</v>
      </c>
      <c r="F25" s="600">
        <f>SUM(F10:F24)</f>
        <v>1</v>
      </c>
      <c r="G25" s="352"/>
    </row>
    <row r="26" spans="1:8" x14ac:dyDescent="0.2">
      <c r="A26" s="458"/>
      <c r="F26" s="582"/>
      <c r="G26" s="251"/>
      <c r="H26" s="583"/>
    </row>
    <row r="27" spans="1:8" x14ac:dyDescent="0.2">
      <c r="A27" s="458"/>
      <c r="E27" s="352"/>
      <c r="F27" s="582"/>
      <c r="G27" s="251"/>
    </row>
    <row r="28" spans="1:8" ht="14.25" x14ac:dyDescent="0.2">
      <c r="A28" s="458"/>
      <c r="C28" s="297"/>
      <c r="D28" s="297"/>
      <c r="F28" s="582"/>
    </row>
    <row r="29" spans="1:8" x14ac:dyDescent="0.2">
      <c r="A29" s="458"/>
      <c r="C29" s="584"/>
      <c r="D29" s="584"/>
      <c r="F29" s="582"/>
    </row>
    <row r="30" spans="1:8" ht="14.25" x14ac:dyDescent="0.2">
      <c r="A30" s="458"/>
      <c r="B30" s="920" t="str">
        <f>Terrap.!B20</f>
        <v xml:space="preserve">Vinicius Ferreira Fava </v>
      </c>
      <c r="F30" s="582"/>
    </row>
    <row r="31" spans="1:8" x14ac:dyDescent="0.2">
      <c r="A31" s="458"/>
      <c r="B31" s="921" t="str">
        <f>Terrap.!B21</f>
        <v>ENGº CIVIL</v>
      </c>
      <c r="F31" s="582"/>
    </row>
    <row r="32" spans="1:8" x14ac:dyDescent="0.2">
      <c r="A32" s="458"/>
      <c r="B32" s="921" t="str">
        <f>Terrap.!B22</f>
        <v>Crea: 121.286.161-2</v>
      </c>
      <c r="F32" s="582"/>
    </row>
    <row r="33" spans="1:6" x14ac:dyDescent="0.2">
      <c r="A33" s="458"/>
      <c r="F33" s="582"/>
    </row>
    <row r="34" spans="1:6" x14ac:dyDescent="0.2">
      <c r="A34" s="458"/>
      <c r="F34" s="582"/>
    </row>
    <row r="35" spans="1:6" x14ac:dyDescent="0.2">
      <c r="A35" s="458"/>
      <c r="F35" s="582"/>
    </row>
    <row r="36" spans="1:6" x14ac:dyDescent="0.2">
      <c r="A36" s="458"/>
      <c r="F36" s="582"/>
    </row>
    <row r="37" spans="1:6" x14ac:dyDescent="0.2">
      <c r="F37" s="582"/>
    </row>
    <row r="38" spans="1:6" x14ac:dyDescent="0.2">
      <c r="F38" s="582"/>
    </row>
    <row r="39" spans="1:6" x14ac:dyDescent="0.2">
      <c r="F39" s="582"/>
    </row>
    <row r="40" spans="1:6" x14ac:dyDescent="0.2">
      <c r="F40" s="582"/>
    </row>
    <row r="41" spans="1:6" x14ac:dyDescent="0.2">
      <c r="F41" s="582"/>
    </row>
    <row r="42" spans="1:6" x14ac:dyDescent="0.2">
      <c r="F42" s="582"/>
    </row>
    <row r="43" spans="1:6" x14ac:dyDescent="0.2">
      <c r="F43" s="582"/>
    </row>
    <row r="44" spans="1:6" x14ac:dyDescent="0.2">
      <c r="F44" s="582"/>
    </row>
    <row r="45" spans="1:6" x14ac:dyDescent="0.2">
      <c r="F45" s="582"/>
    </row>
    <row r="46" spans="1:6" x14ac:dyDescent="0.2">
      <c r="F46" s="582"/>
    </row>
    <row r="47" spans="1:6" x14ac:dyDescent="0.2">
      <c r="F47" s="582"/>
    </row>
    <row r="48" spans="1:6" x14ac:dyDescent="0.2">
      <c r="F48" s="582"/>
    </row>
    <row r="49" spans="6:6" x14ac:dyDescent="0.2">
      <c r="F49" s="582"/>
    </row>
    <row r="50" spans="6:6" x14ac:dyDescent="0.2">
      <c r="F50" s="582"/>
    </row>
    <row r="51" spans="6:6" x14ac:dyDescent="0.2">
      <c r="F51" s="582"/>
    </row>
    <row r="52" spans="6:6" x14ac:dyDescent="0.2">
      <c r="F52" s="582"/>
    </row>
    <row r="53" spans="6:6" x14ac:dyDescent="0.2">
      <c r="F53" s="582"/>
    </row>
    <row r="54" spans="6:6" x14ac:dyDescent="0.2">
      <c r="F54" s="582"/>
    </row>
    <row r="55" spans="6:6" x14ac:dyDescent="0.2">
      <c r="F55" s="582"/>
    </row>
    <row r="56" spans="6:6" x14ac:dyDescent="0.2">
      <c r="F56" s="582"/>
    </row>
    <row r="57" spans="6:6" x14ac:dyDescent="0.2">
      <c r="F57" s="582"/>
    </row>
    <row r="58" spans="6:6" x14ac:dyDescent="0.2">
      <c r="F58" s="582"/>
    </row>
    <row r="59" spans="6:6" x14ac:dyDescent="0.2">
      <c r="F59" s="582"/>
    </row>
    <row r="60" spans="6:6" x14ac:dyDescent="0.2">
      <c r="F60" s="582"/>
    </row>
    <row r="61" spans="6:6" x14ac:dyDescent="0.2">
      <c r="F61" s="582"/>
    </row>
    <row r="62" spans="6:6" x14ac:dyDescent="0.2">
      <c r="F62" s="582"/>
    </row>
    <row r="63" spans="6:6" x14ac:dyDescent="0.2">
      <c r="F63" s="582"/>
    </row>
    <row r="64" spans="6:6" x14ac:dyDescent="0.2">
      <c r="F64" s="582"/>
    </row>
    <row r="65" spans="6:6" x14ac:dyDescent="0.2">
      <c r="F65" s="582"/>
    </row>
    <row r="66" spans="6:6" x14ac:dyDescent="0.2">
      <c r="F66" s="582"/>
    </row>
    <row r="67" spans="6:6" x14ac:dyDescent="0.2">
      <c r="F67" s="582"/>
    </row>
    <row r="68" spans="6:6" x14ac:dyDescent="0.2">
      <c r="F68" s="582"/>
    </row>
    <row r="69" spans="6:6" x14ac:dyDescent="0.2">
      <c r="F69" s="582"/>
    </row>
    <row r="70" spans="6:6" x14ac:dyDescent="0.2">
      <c r="F70" s="582"/>
    </row>
    <row r="71" spans="6:6" x14ac:dyDescent="0.2">
      <c r="F71" s="582"/>
    </row>
    <row r="72" spans="6:6" x14ac:dyDescent="0.2">
      <c r="F72" s="582"/>
    </row>
    <row r="73" spans="6:6" x14ac:dyDescent="0.2">
      <c r="F73" s="582"/>
    </row>
    <row r="74" spans="6:6" x14ac:dyDescent="0.2">
      <c r="F74" s="582"/>
    </row>
    <row r="75" spans="6:6" x14ac:dyDescent="0.2">
      <c r="F75" s="582"/>
    </row>
    <row r="76" spans="6:6" x14ac:dyDescent="0.2">
      <c r="F76" s="582"/>
    </row>
    <row r="77" spans="6:6" x14ac:dyDescent="0.2">
      <c r="F77" s="582"/>
    </row>
    <row r="78" spans="6:6" x14ac:dyDescent="0.2">
      <c r="F78" s="582"/>
    </row>
    <row r="79" spans="6:6" x14ac:dyDescent="0.2">
      <c r="F79" s="582"/>
    </row>
    <row r="80" spans="6:6" x14ac:dyDescent="0.2">
      <c r="F80" s="582"/>
    </row>
  </sheetData>
  <mergeCells count="24">
    <mergeCell ref="B25:D25"/>
    <mergeCell ref="B23:D23"/>
    <mergeCell ref="B13:D13"/>
    <mergeCell ref="B11:D11"/>
    <mergeCell ref="B24:D24"/>
    <mergeCell ref="B14:D14"/>
    <mergeCell ref="B15:D15"/>
    <mergeCell ref="B16:D16"/>
    <mergeCell ref="B17:D17"/>
    <mergeCell ref="B12:D12"/>
    <mergeCell ref="B18:D18"/>
    <mergeCell ref="B19:D19"/>
    <mergeCell ref="B21:D21"/>
    <mergeCell ref="B20:D20"/>
    <mergeCell ref="A1:F1"/>
    <mergeCell ref="A2:F2"/>
    <mergeCell ref="B8:D8"/>
    <mergeCell ref="B10:D10"/>
    <mergeCell ref="F4:F6"/>
    <mergeCell ref="A7:F7"/>
    <mergeCell ref="D4:E6"/>
    <mergeCell ref="D3:E3"/>
    <mergeCell ref="C5:C6"/>
    <mergeCell ref="B9:D9"/>
  </mergeCells>
  <phoneticPr fontId="10" type="noConversion"/>
  <pageMargins left="0.19685039370078741" right="0.31496062992125984" top="0.78740157480314965" bottom="0.78740157480314965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O86"/>
  <sheetViews>
    <sheetView view="pageBreakPreview" zoomScale="85" zoomScaleNormal="85" zoomScaleSheetLayoutView="85" zoomScalePageLayoutView="80" workbookViewId="0">
      <selection activeCell="X46" sqref="X46"/>
    </sheetView>
  </sheetViews>
  <sheetFormatPr defaultRowHeight="15" x14ac:dyDescent="0.2"/>
  <cols>
    <col min="1" max="1" width="12.42578125" style="8" customWidth="1"/>
    <col min="2" max="3" width="15" style="8" customWidth="1"/>
    <col min="4" max="4" width="69.7109375" style="258" customWidth="1"/>
    <col min="5" max="5" width="10.140625" style="8" customWidth="1"/>
    <col min="6" max="6" width="15.5703125" style="10" customWidth="1"/>
    <col min="7" max="7" width="10.7109375" style="11" hidden="1" customWidth="1"/>
    <col min="8" max="8" width="16.7109375" style="11" hidden="1" customWidth="1"/>
    <col min="9" max="9" width="12.5703125" style="19" hidden="1" customWidth="1"/>
    <col min="10" max="10" width="9.85546875" style="863" bestFit="1" customWidth="1"/>
    <col min="11" max="11" width="7" style="354" bestFit="1" customWidth="1"/>
    <col min="12" max="12" width="11.85546875" style="863" bestFit="1" customWidth="1"/>
    <col min="13" max="13" width="8" style="244" bestFit="1" customWidth="1"/>
    <col min="14" max="14" width="13.140625" style="863" bestFit="1" customWidth="1"/>
    <col min="15" max="15" width="13.140625" style="244" customWidth="1"/>
    <col min="16" max="16" width="12.5703125" style="863" bestFit="1" customWidth="1"/>
    <col min="17" max="17" width="12.5703125" style="244" customWidth="1"/>
    <col min="18" max="18" width="9.140625" style="863"/>
    <col min="19" max="19" width="9.5703125" style="896" bestFit="1" customWidth="1"/>
    <col min="20" max="20" width="9.140625" style="881"/>
    <col min="21" max="21" width="9.5703125" style="896" bestFit="1" customWidth="1"/>
    <col min="22" max="22" width="9.140625" style="881"/>
    <col min="23" max="23" width="9.5703125" style="896" bestFit="1" customWidth="1"/>
    <col min="24" max="24" width="9.140625" style="881"/>
    <col min="25" max="25" width="9.5703125" style="896" bestFit="1" customWidth="1"/>
    <col min="26" max="26" width="9.140625" style="881"/>
    <col min="27" max="27" width="9.5703125" style="896" bestFit="1" customWidth="1"/>
    <col min="28" max="28" width="9.140625" style="881"/>
    <col min="29" max="29" width="9.140625" style="244"/>
    <col min="30" max="30" width="9.140625" style="881"/>
    <col min="31" max="31" width="9.140625" style="244"/>
    <col min="32" max="32" width="9.140625" style="881"/>
    <col min="33" max="34" width="9.140625" style="244"/>
    <col min="35" max="35" width="10.5703125" style="244" bestFit="1" customWidth="1"/>
    <col min="36" max="16384" width="9.140625" style="244"/>
  </cols>
  <sheetData>
    <row r="1" spans="1:41" ht="43.5" customHeight="1" x14ac:dyDescent="0.2">
      <c r="A1" s="1387" t="e">
        <f>Terrap.!#REF!</f>
        <v>#REF!</v>
      </c>
      <c r="B1" s="1388"/>
      <c r="C1" s="1388"/>
      <c r="D1" s="1391" t="str">
        <f>Terrap.!A1</f>
        <v>ESTADO DE MATO GROSSO</v>
      </c>
      <c r="E1" s="1391"/>
      <c r="F1" s="1391"/>
      <c r="G1" s="1391"/>
      <c r="H1" s="1391"/>
      <c r="I1" s="1392"/>
    </row>
    <row r="2" spans="1:41" ht="43.5" customHeight="1" x14ac:dyDescent="0.2">
      <c r="A2" s="1389"/>
      <c r="B2" s="1390"/>
      <c r="C2" s="1390"/>
      <c r="D2" s="1393" t="str">
        <f>Terrap.!A2</f>
        <v xml:space="preserve">PREFEITURA MUNICIPAL DE BARRA DO BUGRES </v>
      </c>
      <c r="E2" s="1393"/>
      <c r="F2" s="1393"/>
      <c r="G2" s="1393"/>
      <c r="H2" s="1393"/>
      <c r="I2" s="1394"/>
      <c r="J2" s="864"/>
      <c r="K2" s="866"/>
      <c r="L2" s="864"/>
      <c r="M2" s="858"/>
      <c r="N2" s="864"/>
      <c r="O2" s="858"/>
    </row>
    <row r="3" spans="1:41" ht="26.25" customHeight="1" x14ac:dyDescent="0.2">
      <c r="A3" s="667" t="str">
        <f>Terrap.!A3</f>
        <v>OBRA:</v>
      </c>
      <c r="B3" s="1368" t="str">
        <f>Terrap.!B3</f>
        <v>PAVIMENTAÇÃO ASFALTICA E DRENAGEM DE AGUAS PLUVIAIS</v>
      </c>
      <c r="C3" s="1369"/>
      <c r="D3" s="1369"/>
      <c r="E3" s="1370"/>
      <c r="F3" s="1357" t="s">
        <v>136</v>
      </c>
      <c r="G3" s="1362" t="s">
        <v>587</v>
      </c>
      <c r="H3" s="1362"/>
      <c r="I3" s="1363"/>
      <c r="J3" s="864"/>
      <c r="K3" s="866"/>
      <c r="L3" s="864"/>
      <c r="M3" s="858"/>
      <c r="N3" s="864"/>
      <c r="O3" s="858"/>
    </row>
    <row r="4" spans="1:41" ht="26.25" customHeight="1" x14ac:dyDescent="0.2">
      <c r="A4" s="667" t="str">
        <f>Terrap.!A4</f>
        <v>LOCAL:</v>
      </c>
      <c r="B4" s="1368" t="str">
        <f>Terrap.!B4</f>
        <v>DIVERSAS RUAS - PERIMETRO URBANO</v>
      </c>
      <c r="C4" s="1369"/>
      <c r="D4" s="1369"/>
      <c r="E4" s="1370"/>
      <c r="F4" s="1357"/>
      <c r="G4" s="1364"/>
      <c r="H4" s="1364"/>
      <c r="I4" s="1365"/>
      <c r="J4" s="865"/>
      <c r="K4" s="855"/>
      <c r="L4" s="865"/>
      <c r="M4" s="7"/>
      <c r="N4" s="865"/>
      <c r="O4" s="7"/>
    </row>
    <row r="5" spans="1:41" ht="26.25" customHeight="1" x14ac:dyDescent="0.2">
      <c r="A5" s="667" t="str">
        <f>Terrap.!A5</f>
        <v>PROPR.:</v>
      </c>
      <c r="B5" s="1368" t="str">
        <f>Terrap.!B5</f>
        <v xml:space="preserve">PREFEITURA MUNICIPAL DE BARRA DO BUGRES </v>
      </c>
      <c r="C5" s="1369"/>
      <c r="D5" s="1369"/>
      <c r="E5" s="1370"/>
      <c r="F5" s="1357"/>
      <c r="G5" s="1366"/>
      <c r="H5" s="1366"/>
      <c r="I5" s="1367"/>
      <c r="J5" s="865"/>
      <c r="K5" s="855"/>
      <c r="L5" s="1294"/>
      <c r="M5" s="1294"/>
      <c r="N5" s="1294"/>
      <c r="O5" s="1294"/>
      <c r="P5" s="1294"/>
      <c r="Q5" s="858"/>
    </row>
    <row r="6" spans="1:41" ht="26.25" customHeight="1" thickBot="1" x14ac:dyDescent="0.25">
      <c r="A6" s="380" t="str">
        <f>Terrap.!A6</f>
        <v>ÁREA (m²):</v>
      </c>
      <c r="B6" s="1358">
        <f>Pavim.!C19</f>
        <v>7896.8</v>
      </c>
      <c r="C6" s="1358"/>
      <c r="D6" s="1358"/>
      <c r="E6" s="1358"/>
      <c r="F6" s="853" t="s">
        <v>370</v>
      </c>
      <c r="G6" s="854">
        <v>43160</v>
      </c>
      <c r="H6" s="413" t="s">
        <v>60</v>
      </c>
      <c r="I6" s="529">
        <v>0.27689999999999998</v>
      </c>
      <c r="J6" s="865"/>
      <c r="K6" s="855"/>
      <c r="L6" s="1294"/>
      <c r="M6" s="1294"/>
      <c r="N6" s="1294"/>
      <c r="O6" s="1294"/>
      <c r="P6" s="1294"/>
      <c r="Q6" s="858"/>
    </row>
    <row r="7" spans="1:41" ht="26.25" customHeight="1" thickBot="1" x14ac:dyDescent="0.25">
      <c r="A7" s="1295" t="s">
        <v>131</v>
      </c>
      <c r="B7" s="1296"/>
      <c r="C7" s="1296"/>
      <c r="D7" s="1296"/>
      <c r="E7" s="1296"/>
      <c r="F7" s="1296"/>
      <c r="G7" s="1296"/>
      <c r="H7" s="1296"/>
      <c r="I7" s="1297"/>
      <c r="J7" s="865"/>
      <c r="K7" s="855"/>
    </row>
    <row r="8" spans="1:41" ht="57" x14ac:dyDescent="0.2">
      <c r="A8" s="472" t="s">
        <v>0</v>
      </c>
      <c r="B8" s="473" t="s">
        <v>392</v>
      </c>
      <c r="C8" s="473" t="s">
        <v>393</v>
      </c>
      <c r="D8" s="474" t="s">
        <v>1</v>
      </c>
      <c r="E8" s="474" t="s">
        <v>2</v>
      </c>
      <c r="F8" s="475" t="s">
        <v>3</v>
      </c>
      <c r="G8" s="476" t="s">
        <v>130</v>
      </c>
      <c r="H8" s="476" t="s">
        <v>391</v>
      </c>
      <c r="I8" s="868" t="s">
        <v>4</v>
      </c>
      <c r="J8" s="1405" t="s">
        <v>596</v>
      </c>
      <c r="K8" s="1405"/>
      <c r="L8" s="1406">
        <v>60</v>
      </c>
      <c r="M8" s="1406"/>
      <c r="N8" s="1407">
        <v>90</v>
      </c>
      <c r="O8" s="1408"/>
      <c r="P8" s="1407">
        <v>120</v>
      </c>
      <c r="Q8" s="1408"/>
      <c r="R8" s="1398">
        <v>150</v>
      </c>
      <c r="S8" s="1399"/>
      <c r="T8" s="1398">
        <v>180</v>
      </c>
      <c r="U8" s="1399"/>
      <c r="V8" s="1398">
        <v>210</v>
      </c>
      <c r="W8" s="1399"/>
      <c r="X8" s="1398">
        <v>240</v>
      </c>
      <c r="Y8" s="1399"/>
      <c r="Z8" s="1398">
        <v>270</v>
      </c>
      <c r="AA8" s="1399"/>
      <c r="AB8" s="1398">
        <v>300</v>
      </c>
      <c r="AC8" s="1399"/>
      <c r="AD8" s="1398">
        <v>330</v>
      </c>
      <c r="AE8" s="1399"/>
      <c r="AF8" s="1409">
        <v>360</v>
      </c>
      <c r="AG8" s="1409"/>
      <c r="AH8" s="862"/>
      <c r="AI8" s="862"/>
      <c r="AJ8" s="862"/>
      <c r="AK8" s="862"/>
      <c r="AL8" s="862"/>
      <c r="AM8" s="862"/>
      <c r="AN8" s="862"/>
      <c r="AO8" s="862"/>
    </row>
    <row r="9" spans="1:41" x14ac:dyDescent="0.2">
      <c r="A9" s="478">
        <v>1</v>
      </c>
      <c r="B9" s="479"/>
      <c r="C9" s="479"/>
      <c r="D9" s="480" t="s">
        <v>30</v>
      </c>
      <c r="E9" s="479"/>
      <c r="F9" s="481"/>
      <c r="G9" s="481"/>
      <c r="H9" s="481"/>
      <c r="I9" s="869"/>
      <c r="J9" s="872"/>
      <c r="K9" s="873"/>
      <c r="L9" s="874"/>
      <c r="M9" s="874"/>
      <c r="N9" s="874"/>
      <c r="O9" s="874"/>
      <c r="P9" s="874"/>
      <c r="Q9" s="874"/>
      <c r="R9" s="874"/>
      <c r="S9" s="897"/>
      <c r="T9" s="882"/>
      <c r="U9" s="897"/>
      <c r="V9" s="882"/>
      <c r="W9" s="897"/>
      <c r="X9" s="882"/>
      <c r="Y9" s="897"/>
      <c r="Z9" s="882"/>
      <c r="AA9" s="897"/>
      <c r="AB9" s="882"/>
      <c r="AC9" s="874"/>
      <c r="AD9" s="882"/>
      <c r="AE9" s="874"/>
      <c r="AF9" s="882"/>
      <c r="AG9" s="874"/>
    </row>
    <row r="10" spans="1:41" ht="30" x14ac:dyDescent="0.2">
      <c r="A10" s="484" t="s">
        <v>23</v>
      </c>
      <c r="B10" s="860">
        <v>93584</v>
      </c>
      <c r="C10" s="860"/>
      <c r="D10" s="485" t="s">
        <v>416</v>
      </c>
      <c r="E10" s="859" t="s">
        <v>538</v>
      </c>
      <c r="F10" s="486">
        <f>'Mem. Calc.'!E10</f>
        <v>12</v>
      </c>
      <c r="G10" s="487">
        <f>H10/F10</f>
        <v>1192.8800000000001</v>
      </c>
      <c r="H10" s="487">
        <v>14314.51</v>
      </c>
      <c r="I10" s="1395">
        <f>H13/H75</f>
        <v>2.4299999999999999E-2</v>
      </c>
      <c r="J10" s="872">
        <v>0.8</v>
      </c>
      <c r="K10" s="873">
        <f>F10*J10</f>
        <v>9.6</v>
      </c>
      <c r="L10" s="874">
        <v>0.2</v>
      </c>
      <c r="M10" s="875">
        <f>F10*L10</f>
        <v>2.4</v>
      </c>
      <c r="N10" s="874"/>
      <c r="O10" s="875">
        <f>N10*F10</f>
        <v>0</v>
      </c>
      <c r="P10" s="874"/>
      <c r="Q10" s="875">
        <f>P10*F10</f>
        <v>0</v>
      </c>
      <c r="R10" s="874"/>
      <c r="S10" s="898">
        <f>R10*F10</f>
        <v>0</v>
      </c>
      <c r="T10" s="882"/>
      <c r="U10" s="898">
        <f>T10*F10</f>
        <v>0</v>
      </c>
      <c r="V10" s="882"/>
      <c r="W10" s="898">
        <f>V10*F10</f>
        <v>0</v>
      </c>
      <c r="X10" s="882"/>
      <c r="Y10" s="898">
        <f>X10*F10</f>
        <v>0</v>
      </c>
      <c r="Z10" s="882"/>
      <c r="AA10" s="898">
        <f>Z10*F10</f>
        <v>0</v>
      </c>
      <c r="AB10" s="882"/>
      <c r="AC10" s="875">
        <f>AB10*F10</f>
        <v>0</v>
      </c>
      <c r="AD10" s="882"/>
      <c r="AE10" s="875">
        <f>AD10*F10</f>
        <v>0</v>
      </c>
      <c r="AF10" s="882"/>
      <c r="AG10" s="875">
        <f>AF10*F10</f>
        <v>0</v>
      </c>
      <c r="AH10" s="880">
        <f t="shared" ref="AH10:AI12" si="0">AF10+AD10+AB10+Z10+X10+V10+T10+R10+P10+N10+L10+J10</f>
        <v>1</v>
      </c>
      <c r="AI10" s="257">
        <f t="shared" si="0"/>
        <v>12</v>
      </c>
    </row>
    <row r="11" spans="1:41" ht="45" x14ac:dyDescent="0.2">
      <c r="A11" s="484" t="s">
        <v>44</v>
      </c>
      <c r="B11" s="860">
        <v>93212</v>
      </c>
      <c r="C11" s="860"/>
      <c r="D11" s="485" t="s">
        <v>417</v>
      </c>
      <c r="E11" s="859" t="s">
        <v>538</v>
      </c>
      <c r="F11" s="486" t="e">
        <f>'Mem. Calc.'!#REF!</f>
        <v>#REF!</v>
      </c>
      <c r="G11" s="487" t="e">
        <f>H11/F11</f>
        <v>#REF!</v>
      </c>
      <c r="H11" s="487">
        <v>4924.03</v>
      </c>
      <c r="I11" s="1396"/>
      <c r="J11" s="872">
        <v>0.8</v>
      </c>
      <c r="K11" s="873" t="e">
        <f>F11*J11</f>
        <v>#REF!</v>
      </c>
      <c r="L11" s="874">
        <v>0.2</v>
      </c>
      <c r="M11" s="875" t="e">
        <f>F11*L11</f>
        <v>#REF!</v>
      </c>
      <c r="N11" s="874"/>
      <c r="O11" s="875" t="e">
        <f>N11*F11</f>
        <v>#REF!</v>
      </c>
      <c r="P11" s="874"/>
      <c r="Q11" s="875" t="e">
        <f>P11*F11</f>
        <v>#REF!</v>
      </c>
      <c r="R11" s="874"/>
      <c r="S11" s="898" t="e">
        <f>R11*F11</f>
        <v>#REF!</v>
      </c>
      <c r="T11" s="882"/>
      <c r="U11" s="898" t="e">
        <f>T11*F11</f>
        <v>#REF!</v>
      </c>
      <c r="V11" s="882"/>
      <c r="W11" s="898" t="e">
        <f>V11*F11</f>
        <v>#REF!</v>
      </c>
      <c r="X11" s="882"/>
      <c r="Y11" s="898" t="e">
        <f>X11*F11</f>
        <v>#REF!</v>
      </c>
      <c r="Z11" s="882"/>
      <c r="AA11" s="898" t="e">
        <f>Z11*F11</f>
        <v>#REF!</v>
      </c>
      <c r="AB11" s="882"/>
      <c r="AC11" s="875" t="e">
        <f>AB11*F11</f>
        <v>#REF!</v>
      </c>
      <c r="AD11" s="882"/>
      <c r="AE11" s="875" t="e">
        <f>AD11*F11</f>
        <v>#REF!</v>
      </c>
      <c r="AF11" s="882"/>
      <c r="AG11" s="875" t="e">
        <f>AF11*F11</f>
        <v>#REF!</v>
      </c>
      <c r="AH11" s="880">
        <f t="shared" si="0"/>
        <v>1</v>
      </c>
      <c r="AI11" s="257" t="e">
        <f t="shared" si="0"/>
        <v>#REF!</v>
      </c>
    </row>
    <row r="12" spans="1:41" x14ac:dyDescent="0.2">
      <c r="A12" s="484" t="s">
        <v>45</v>
      </c>
      <c r="B12" s="859" t="s">
        <v>36</v>
      </c>
      <c r="C12" s="859"/>
      <c r="D12" s="488" t="s">
        <v>102</v>
      </c>
      <c r="E12" s="859" t="s">
        <v>538</v>
      </c>
      <c r="F12" s="486">
        <f>'Mem. Calc.'!E11</f>
        <v>3.13</v>
      </c>
      <c r="G12" s="487">
        <f>H12/F12</f>
        <v>4751.53</v>
      </c>
      <c r="H12" s="487">
        <v>14872.28</v>
      </c>
      <c r="I12" s="1396"/>
      <c r="J12" s="872">
        <v>0.8</v>
      </c>
      <c r="K12" s="873">
        <f>F12*J12</f>
        <v>2.5</v>
      </c>
      <c r="L12" s="874">
        <v>0.2</v>
      </c>
      <c r="M12" s="875">
        <f>F12*L12</f>
        <v>0.63</v>
      </c>
      <c r="N12" s="874"/>
      <c r="O12" s="875">
        <f>N12*F12</f>
        <v>0</v>
      </c>
      <c r="P12" s="874"/>
      <c r="Q12" s="875">
        <f>P12*F12</f>
        <v>0</v>
      </c>
      <c r="R12" s="874"/>
      <c r="S12" s="898">
        <f>R12*F12</f>
        <v>0</v>
      </c>
      <c r="T12" s="882"/>
      <c r="U12" s="898">
        <f>T12*F12</f>
        <v>0</v>
      </c>
      <c r="V12" s="882"/>
      <c r="W12" s="898">
        <f>V12*F12</f>
        <v>0</v>
      </c>
      <c r="X12" s="882"/>
      <c r="Y12" s="898">
        <f>X12*F12</f>
        <v>0</v>
      </c>
      <c r="Z12" s="882"/>
      <c r="AA12" s="898">
        <f>Z12*F12</f>
        <v>0</v>
      </c>
      <c r="AB12" s="882"/>
      <c r="AC12" s="875">
        <f>AB12*F12</f>
        <v>0</v>
      </c>
      <c r="AD12" s="882"/>
      <c r="AE12" s="875">
        <f>AD12*F12</f>
        <v>0</v>
      </c>
      <c r="AF12" s="882"/>
      <c r="AG12" s="875">
        <f>AF12*F12</f>
        <v>0</v>
      </c>
      <c r="AH12" s="880">
        <f t="shared" si="0"/>
        <v>1</v>
      </c>
      <c r="AI12" s="257">
        <f t="shared" si="0"/>
        <v>3.13</v>
      </c>
    </row>
    <row r="13" spans="1:41" x14ac:dyDescent="0.2">
      <c r="A13" s="490"/>
      <c r="B13" s="491"/>
      <c r="C13" s="491"/>
      <c r="D13" s="492" t="s">
        <v>7</v>
      </c>
      <c r="E13" s="491"/>
      <c r="F13" s="493"/>
      <c r="G13" s="494"/>
      <c r="H13" s="494">
        <f>SUM(H10:H12)</f>
        <v>34110.82</v>
      </c>
      <c r="I13" s="1397"/>
      <c r="J13" s="872"/>
      <c r="K13" s="873"/>
      <c r="L13" s="874"/>
      <c r="M13" s="408"/>
      <c r="N13" s="874"/>
      <c r="O13" s="408"/>
      <c r="P13" s="874"/>
      <c r="Q13" s="408"/>
      <c r="R13" s="874"/>
      <c r="S13" s="898"/>
      <c r="T13" s="882"/>
      <c r="U13" s="898"/>
      <c r="V13" s="882"/>
      <c r="W13" s="898"/>
      <c r="X13" s="882"/>
      <c r="Y13" s="898"/>
      <c r="Z13" s="882"/>
      <c r="AA13" s="898"/>
      <c r="AB13" s="882"/>
      <c r="AC13" s="408"/>
      <c r="AD13" s="882"/>
      <c r="AE13" s="408"/>
      <c r="AF13" s="882"/>
      <c r="AG13" s="408"/>
    </row>
    <row r="14" spans="1:41" x14ac:dyDescent="0.2">
      <c r="A14" s="478">
        <v>2</v>
      </c>
      <c r="B14" s="479"/>
      <c r="C14" s="479"/>
      <c r="D14" s="495" t="s">
        <v>581</v>
      </c>
      <c r="E14" s="479"/>
      <c r="F14" s="496"/>
      <c r="G14" s="482"/>
      <c r="H14" s="482"/>
      <c r="I14" s="869"/>
      <c r="J14" s="872"/>
      <c r="K14" s="873"/>
      <c r="L14" s="874"/>
      <c r="M14" s="408"/>
      <c r="N14" s="874"/>
      <c r="O14" s="408"/>
      <c r="P14" s="874"/>
      <c r="Q14" s="408"/>
      <c r="R14" s="874"/>
      <c r="S14" s="898"/>
      <c r="T14" s="882"/>
      <c r="U14" s="898"/>
      <c r="V14" s="882"/>
      <c r="W14" s="898"/>
      <c r="X14" s="882"/>
      <c r="Y14" s="898"/>
      <c r="Z14" s="882"/>
      <c r="AA14" s="898"/>
      <c r="AB14" s="882"/>
      <c r="AC14" s="408"/>
      <c r="AD14" s="882"/>
      <c r="AE14" s="408"/>
      <c r="AF14" s="882"/>
      <c r="AG14" s="408"/>
    </row>
    <row r="15" spans="1:41" x14ac:dyDescent="0.2">
      <c r="A15" s="484" t="s">
        <v>24</v>
      </c>
      <c r="B15" s="1360" t="s">
        <v>350</v>
      </c>
      <c r="C15" s="1361"/>
      <c r="D15" s="488" t="str">
        <f>'ADM LOCAL'!B9</f>
        <v>ADMINISTRAÇÃO LOCAL DA OBRA</v>
      </c>
      <c r="E15" s="859" t="s">
        <v>49</v>
      </c>
      <c r="F15" s="497">
        <v>1</v>
      </c>
      <c r="G15" s="487">
        <f>H15/F15</f>
        <v>68628.7</v>
      </c>
      <c r="H15" s="861">
        <v>68628.7</v>
      </c>
      <c r="I15" s="1395">
        <f>H16/H75</f>
        <v>4.8899999999999999E-2</v>
      </c>
      <c r="J15" s="872"/>
      <c r="K15" s="873">
        <f>F15*J15</f>
        <v>0</v>
      </c>
      <c r="L15" s="874"/>
      <c r="M15" s="875">
        <f>F15*L15</f>
        <v>0</v>
      </c>
      <c r="N15" s="874"/>
      <c r="O15" s="875">
        <f>N15*F15</f>
        <v>0</v>
      </c>
      <c r="P15" s="874"/>
      <c r="Q15" s="875">
        <f>P15*F15</f>
        <v>0</v>
      </c>
      <c r="R15" s="874"/>
      <c r="S15" s="898">
        <f>R15*F15</f>
        <v>0</v>
      </c>
      <c r="T15" s="882"/>
      <c r="U15" s="898">
        <f>T15*F15</f>
        <v>0</v>
      </c>
      <c r="V15" s="882"/>
      <c r="W15" s="898">
        <f>V15*F15</f>
        <v>0</v>
      </c>
      <c r="X15" s="882"/>
      <c r="Y15" s="898">
        <f>X15*F15</f>
        <v>0</v>
      </c>
      <c r="Z15" s="882"/>
      <c r="AA15" s="898">
        <f>Z15*F15</f>
        <v>0</v>
      </c>
      <c r="AB15" s="882"/>
      <c r="AC15" s="875">
        <f>AB15*F15</f>
        <v>0</v>
      </c>
      <c r="AD15" s="882"/>
      <c r="AE15" s="875">
        <f>AD15*F15</f>
        <v>0</v>
      </c>
      <c r="AF15" s="882"/>
      <c r="AG15" s="875">
        <f>AF15*F15</f>
        <v>0</v>
      </c>
      <c r="AH15" s="880">
        <f>AF15+AD15+AB15+Z15+X15+V15+T15+R15+P15+N15+L15+J15</f>
        <v>0</v>
      </c>
      <c r="AI15" s="257">
        <f>AG15+AE15+AC15+AA15+Y15+W15+U15+S15+Q15+O15+M15+K15</f>
        <v>0</v>
      </c>
    </row>
    <row r="16" spans="1:41" x14ac:dyDescent="0.2">
      <c r="A16" s="490"/>
      <c r="B16" s="491"/>
      <c r="C16" s="491"/>
      <c r="D16" s="492" t="s">
        <v>7</v>
      </c>
      <c r="E16" s="491"/>
      <c r="F16" s="493"/>
      <c r="G16" s="494"/>
      <c r="H16" s="494">
        <f>SUM(H15:H15)</f>
        <v>68628.7</v>
      </c>
      <c r="I16" s="1397"/>
      <c r="J16" s="872"/>
      <c r="K16" s="873"/>
      <c r="L16" s="874"/>
      <c r="M16" s="876"/>
      <c r="N16" s="874"/>
      <c r="O16" s="408"/>
      <c r="P16" s="874"/>
      <c r="Q16" s="408"/>
      <c r="R16" s="874"/>
      <c r="S16" s="898"/>
      <c r="T16" s="882"/>
      <c r="U16" s="898"/>
      <c r="V16" s="882"/>
      <c r="W16" s="898"/>
      <c r="X16" s="882"/>
      <c r="Y16" s="898"/>
      <c r="Z16" s="882"/>
      <c r="AA16" s="898"/>
      <c r="AB16" s="882"/>
      <c r="AC16" s="408"/>
      <c r="AD16" s="882"/>
      <c r="AE16" s="408"/>
      <c r="AF16" s="882"/>
      <c r="AG16" s="408"/>
    </row>
    <row r="17" spans="1:35" x14ac:dyDescent="0.2">
      <c r="A17" s="478">
        <v>3</v>
      </c>
      <c r="B17" s="479"/>
      <c r="C17" s="479"/>
      <c r="D17" s="495" t="s">
        <v>50</v>
      </c>
      <c r="E17" s="479"/>
      <c r="F17" s="496"/>
      <c r="G17" s="482"/>
      <c r="H17" s="482"/>
      <c r="I17" s="869"/>
      <c r="J17" s="872"/>
      <c r="K17" s="873"/>
      <c r="L17" s="874"/>
      <c r="M17" s="408"/>
      <c r="N17" s="874"/>
      <c r="O17" s="408"/>
      <c r="P17" s="874"/>
      <c r="Q17" s="408"/>
      <c r="R17" s="874"/>
      <c r="S17" s="898"/>
      <c r="T17" s="882"/>
      <c r="U17" s="898"/>
      <c r="V17" s="882"/>
      <c r="W17" s="898"/>
      <c r="X17" s="882"/>
      <c r="Y17" s="898"/>
      <c r="Z17" s="882"/>
      <c r="AA17" s="898"/>
      <c r="AB17" s="882"/>
      <c r="AC17" s="408"/>
      <c r="AD17" s="882"/>
      <c r="AE17" s="408"/>
      <c r="AF17" s="882"/>
      <c r="AG17" s="408"/>
    </row>
    <row r="18" spans="1:35" ht="15" customHeight="1" x14ac:dyDescent="0.2">
      <c r="A18" s="490" t="s">
        <v>25</v>
      </c>
      <c r="B18" s="491"/>
      <c r="C18" s="491"/>
      <c r="D18" s="502" t="s">
        <v>132</v>
      </c>
      <c r="E18" s="498"/>
      <c r="F18" s="500"/>
      <c r="G18" s="494"/>
      <c r="H18" s="500"/>
      <c r="I18" s="1400">
        <f>(H25+H30+H38+H41)/H75</f>
        <v>0.30149999999999999</v>
      </c>
      <c r="J18" s="874"/>
      <c r="K18" s="876"/>
      <c r="L18" s="874"/>
      <c r="M18" s="408"/>
      <c r="N18" s="874"/>
      <c r="O18" s="408"/>
      <c r="P18" s="874"/>
      <c r="Q18" s="408"/>
      <c r="R18" s="874"/>
      <c r="S18" s="898"/>
      <c r="T18" s="882"/>
      <c r="U18" s="898"/>
      <c r="V18" s="882"/>
      <c r="W18" s="898"/>
      <c r="X18" s="882"/>
      <c r="Y18" s="898"/>
      <c r="Z18" s="882"/>
      <c r="AA18" s="898"/>
      <c r="AB18" s="882"/>
      <c r="AC18" s="408"/>
      <c r="AD18" s="882"/>
      <c r="AE18" s="408"/>
      <c r="AF18" s="882"/>
      <c r="AG18" s="408"/>
    </row>
    <row r="19" spans="1:35" ht="75" x14ac:dyDescent="0.2">
      <c r="A19" s="503" t="s">
        <v>38</v>
      </c>
      <c r="B19" s="504">
        <v>90091</v>
      </c>
      <c r="C19" s="504"/>
      <c r="D19" s="505" t="s">
        <v>483</v>
      </c>
      <c r="E19" s="859" t="s">
        <v>539</v>
      </c>
      <c r="F19" s="506" t="e">
        <f>'Mem. Calc.'!#REF!</f>
        <v>#REF!</v>
      </c>
      <c r="G19" s="487" t="e">
        <f t="shared" ref="G19:G24" si="1">H19/F19</f>
        <v>#REF!</v>
      </c>
      <c r="H19" s="506">
        <v>14235.31</v>
      </c>
      <c r="I19" s="1400"/>
      <c r="J19" s="872"/>
      <c r="K19" s="873" t="e">
        <f t="shared" ref="K19:K24" si="2">F19*J19</f>
        <v>#REF!</v>
      </c>
      <c r="L19" s="874"/>
      <c r="M19" s="875" t="e">
        <f t="shared" ref="M19:M24" si="3">F19*L19</f>
        <v>#REF!</v>
      </c>
      <c r="N19" s="874"/>
      <c r="O19" s="875" t="e">
        <f t="shared" ref="O19:O24" si="4">N19*F19</f>
        <v>#REF!</v>
      </c>
      <c r="P19" s="874"/>
      <c r="Q19" s="875" t="e">
        <f t="shared" ref="Q19:Q24" si="5">P19*F19</f>
        <v>#REF!</v>
      </c>
      <c r="R19" s="874"/>
      <c r="S19" s="898" t="e">
        <f t="shared" ref="S19:S24" si="6">R19*F19</f>
        <v>#REF!</v>
      </c>
      <c r="T19" s="882"/>
      <c r="U19" s="898" t="e">
        <f t="shared" ref="U19:U24" si="7">T19*F19</f>
        <v>#REF!</v>
      </c>
      <c r="V19" s="882"/>
      <c r="W19" s="898" t="e">
        <f t="shared" ref="W19:W24" si="8">V19*F19</f>
        <v>#REF!</v>
      </c>
      <c r="X19" s="882"/>
      <c r="Y19" s="898" t="e">
        <f t="shared" ref="Y19:Y24" si="9">X19*F19</f>
        <v>#REF!</v>
      </c>
      <c r="Z19" s="882"/>
      <c r="AA19" s="898" t="e">
        <f t="shared" ref="AA19:AA24" si="10">Z19*F19</f>
        <v>#REF!</v>
      </c>
      <c r="AB19" s="882"/>
      <c r="AC19" s="875" t="e">
        <f t="shared" ref="AC19:AC24" si="11">AB19*F19</f>
        <v>#REF!</v>
      </c>
      <c r="AD19" s="882"/>
      <c r="AE19" s="875" t="e">
        <f t="shared" ref="AE19:AE24" si="12">AD19*F19</f>
        <v>#REF!</v>
      </c>
      <c r="AF19" s="882"/>
      <c r="AG19" s="875" t="e">
        <f t="shared" ref="AG19:AG24" si="13">AF19*F19</f>
        <v>#REF!</v>
      </c>
      <c r="AH19" s="880">
        <f t="shared" ref="AH19:AH24" si="14">AF19+AD19+AB19+Z19+X19+V19+T19+R19+P19+N19+L19+J19</f>
        <v>0</v>
      </c>
      <c r="AI19" s="257" t="e">
        <f t="shared" ref="AI19:AI24" si="15">AG19+AE19+AC19+AA19+Y19+W19+U19+S19+Q19+O19+M19+K19</f>
        <v>#REF!</v>
      </c>
    </row>
    <row r="20" spans="1:35" ht="75" customHeight="1" x14ac:dyDescent="0.2">
      <c r="A20" s="503" t="s">
        <v>582</v>
      </c>
      <c r="B20" s="504">
        <v>90092</v>
      </c>
      <c r="C20" s="504"/>
      <c r="D20" s="505" t="s">
        <v>484</v>
      </c>
      <c r="E20" s="859" t="s">
        <v>539</v>
      </c>
      <c r="F20" s="506" t="e">
        <f>'Mem. Calc.'!#REF!</f>
        <v>#REF!</v>
      </c>
      <c r="G20" s="487" t="e">
        <f t="shared" si="1"/>
        <v>#REF!</v>
      </c>
      <c r="H20" s="506">
        <v>3661.44</v>
      </c>
      <c r="I20" s="1400"/>
      <c r="J20" s="872"/>
      <c r="K20" s="873" t="e">
        <f t="shared" si="2"/>
        <v>#REF!</v>
      </c>
      <c r="L20" s="874"/>
      <c r="M20" s="875" t="e">
        <f t="shared" si="3"/>
        <v>#REF!</v>
      </c>
      <c r="N20" s="874"/>
      <c r="O20" s="875" t="e">
        <f t="shared" si="4"/>
        <v>#REF!</v>
      </c>
      <c r="P20" s="874"/>
      <c r="Q20" s="875" t="e">
        <f t="shared" si="5"/>
        <v>#REF!</v>
      </c>
      <c r="R20" s="874"/>
      <c r="S20" s="898" t="e">
        <f t="shared" si="6"/>
        <v>#REF!</v>
      </c>
      <c r="T20" s="882"/>
      <c r="U20" s="898" t="e">
        <f t="shared" si="7"/>
        <v>#REF!</v>
      </c>
      <c r="V20" s="882"/>
      <c r="W20" s="898" t="e">
        <f t="shared" si="8"/>
        <v>#REF!</v>
      </c>
      <c r="X20" s="882"/>
      <c r="Y20" s="898" t="e">
        <f t="shared" si="9"/>
        <v>#REF!</v>
      </c>
      <c r="Z20" s="882"/>
      <c r="AA20" s="898" t="e">
        <f t="shared" si="10"/>
        <v>#REF!</v>
      </c>
      <c r="AB20" s="882"/>
      <c r="AC20" s="875" t="e">
        <f t="shared" si="11"/>
        <v>#REF!</v>
      </c>
      <c r="AD20" s="882"/>
      <c r="AE20" s="875" t="e">
        <f t="shared" si="12"/>
        <v>#REF!</v>
      </c>
      <c r="AF20" s="882"/>
      <c r="AG20" s="875" t="e">
        <f t="shared" si="13"/>
        <v>#REF!</v>
      </c>
      <c r="AH20" s="880">
        <f t="shared" si="14"/>
        <v>0</v>
      </c>
      <c r="AI20" s="257" t="e">
        <f t="shared" si="15"/>
        <v>#REF!</v>
      </c>
    </row>
    <row r="21" spans="1:35" ht="48.75" customHeight="1" x14ac:dyDescent="0.2">
      <c r="A21" s="503" t="s">
        <v>583</v>
      </c>
      <c r="B21" s="504">
        <v>94056</v>
      </c>
      <c r="C21" s="504"/>
      <c r="D21" s="505" t="s">
        <v>504</v>
      </c>
      <c r="E21" s="859" t="s">
        <v>538</v>
      </c>
      <c r="F21" s="506" t="e">
        <f>'Mem. Calc.'!#REF!</f>
        <v>#REF!</v>
      </c>
      <c r="G21" s="487" t="e">
        <f t="shared" si="1"/>
        <v>#REF!</v>
      </c>
      <c r="H21" s="506">
        <v>12092.75</v>
      </c>
      <c r="I21" s="1400"/>
      <c r="J21" s="872"/>
      <c r="K21" s="873" t="e">
        <f t="shared" si="2"/>
        <v>#REF!</v>
      </c>
      <c r="L21" s="874"/>
      <c r="M21" s="875" t="e">
        <f t="shared" si="3"/>
        <v>#REF!</v>
      </c>
      <c r="N21" s="874"/>
      <c r="O21" s="875" t="e">
        <f t="shared" si="4"/>
        <v>#REF!</v>
      </c>
      <c r="P21" s="874"/>
      <c r="Q21" s="875" t="e">
        <f t="shared" si="5"/>
        <v>#REF!</v>
      </c>
      <c r="R21" s="874"/>
      <c r="S21" s="898" t="e">
        <f t="shared" si="6"/>
        <v>#REF!</v>
      </c>
      <c r="T21" s="882"/>
      <c r="U21" s="898" t="e">
        <f t="shared" si="7"/>
        <v>#REF!</v>
      </c>
      <c r="V21" s="882"/>
      <c r="W21" s="898" t="e">
        <f t="shared" si="8"/>
        <v>#REF!</v>
      </c>
      <c r="X21" s="882"/>
      <c r="Y21" s="898" t="e">
        <f t="shared" si="9"/>
        <v>#REF!</v>
      </c>
      <c r="Z21" s="882"/>
      <c r="AA21" s="898" t="e">
        <f t="shared" si="10"/>
        <v>#REF!</v>
      </c>
      <c r="AB21" s="882"/>
      <c r="AC21" s="875" t="e">
        <f t="shared" si="11"/>
        <v>#REF!</v>
      </c>
      <c r="AD21" s="882"/>
      <c r="AE21" s="875" t="e">
        <f t="shared" si="12"/>
        <v>#REF!</v>
      </c>
      <c r="AF21" s="882"/>
      <c r="AG21" s="875" t="e">
        <f t="shared" si="13"/>
        <v>#REF!</v>
      </c>
      <c r="AH21" s="880">
        <f t="shared" si="14"/>
        <v>0</v>
      </c>
      <c r="AI21" s="257" t="e">
        <f t="shared" si="15"/>
        <v>#REF!</v>
      </c>
    </row>
    <row r="22" spans="1:35" ht="45" x14ac:dyDescent="0.2">
      <c r="A22" s="503" t="s">
        <v>584</v>
      </c>
      <c r="B22" s="489">
        <v>94102</v>
      </c>
      <c r="C22" s="489"/>
      <c r="D22" s="505" t="s">
        <v>485</v>
      </c>
      <c r="E22" s="859" t="s">
        <v>539</v>
      </c>
      <c r="F22" s="506" t="e">
        <f>'Mem. Calc.'!#REF!</f>
        <v>#REF!</v>
      </c>
      <c r="G22" s="487" t="e">
        <f t="shared" si="1"/>
        <v>#REF!</v>
      </c>
      <c r="H22" s="501">
        <v>25822.17</v>
      </c>
      <c r="I22" s="1400"/>
      <c r="J22" s="872"/>
      <c r="K22" s="873" t="e">
        <f t="shared" si="2"/>
        <v>#REF!</v>
      </c>
      <c r="L22" s="874"/>
      <c r="M22" s="875" t="e">
        <f t="shared" si="3"/>
        <v>#REF!</v>
      </c>
      <c r="N22" s="874"/>
      <c r="O22" s="875" t="e">
        <f t="shared" si="4"/>
        <v>#REF!</v>
      </c>
      <c r="P22" s="874"/>
      <c r="Q22" s="875" t="e">
        <f t="shared" si="5"/>
        <v>#REF!</v>
      </c>
      <c r="R22" s="874"/>
      <c r="S22" s="898" t="e">
        <f t="shared" si="6"/>
        <v>#REF!</v>
      </c>
      <c r="T22" s="882"/>
      <c r="U22" s="898" t="e">
        <f t="shared" si="7"/>
        <v>#REF!</v>
      </c>
      <c r="V22" s="882"/>
      <c r="W22" s="898" t="e">
        <f t="shared" si="8"/>
        <v>#REF!</v>
      </c>
      <c r="X22" s="882"/>
      <c r="Y22" s="898" t="e">
        <f t="shared" si="9"/>
        <v>#REF!</v>
      </c>
      <c r="Z22" s="882"/>
      <c r="AA22" s="898" t="e">
        <f t="shared" si="10"/>
        <v>#REF!</v>
      </c>
      <c r="AB22" s="882"/>
      <c r="AC22" s="875" t="e">
        <f t="shared" si="11"/>
        <v>#REF!</v>
      </c>
      <c r="AD22" s="882"/>
      <c r="AE22" s="875" t="e">
        <f t="shared" si="12"/>
        <v>#REF!</v>
      </c>
      <c r="AF22" s="882"/>
      <c r="AG22" s="875" t="e">
        <f t="shared" si="13"/>
        <v>#REF!</v>
      </c>
      <c r="AH22" s="880">
        <f t="shared" si="14"/>
        <v>0</v>
      </c>
      <c r="AI22" s="257" t="e">
        <f t="shared" si="15"/>
        <v>#REF!</v>
      </c>
    </row>
    <row r="23" spans="1:35" ht="75" x14ac:dyDescent="0.2">
      <c r="A23" s="503" t="s">
        <v>585</v>
      </c>
      <c r="B23" s="504">
        <v>93379</v>
      </c>
      <c r="C23" s="504"/>
      <c r="D23" s="507" t="s">
        <v>428</v>
      </c>
      <c r="E23" s="859" t="s">
        <v>539</v>
      </c>
      <c r="F23" s="506" t="e">
        <f>'Mem. Calc.'!#REF!</f>
        <v>#REF!</v>
      </c>
      <c r="G23" s="487" t="e">
        <f t="shared" si="1"/>
        <v>#REF!</v>
      </c>
      <c r="H23" s="501">
        <v>24526.37</v>
      </c>
      <c r="I23" s="1400"/>
      <c r="J23" s="872"/>
      <c r="K23" s="873" t="e">
        <f t="shared" si="2"/>
        <v>#REF!</v>
      </c>
      <c r="L23" s="874"/>
      <c r="M23" s="875" t="e">
        <f t="shared" si="3"/>
        <v>#REF!</v>
      </c>
      <c r="N23" s="874"/>
      <c r="O23" s="875" t="e">
        <f t="shared" si="4"/>
        <v>#REF!</v>
      </c>
      <c r="P23" s="874"/>
      <c r="Q23" s="875" t="e">
        <f t="shared" si="5"/>
        <v>#REF!</v>
      </c>
      <c r="R23" s="874"/>
      <c r="S23" s="898" t="e">
        <f t="shared" si="6"/>
        <v>#REF!</v>
      </c>
      <c r="T23" s="882"/>
      <c r="U23" s="898" t="e">
        <f t="shared" si="7"/>
        <v>#REF!</v>
      </c>
      <c r="V23" s="882"/>
      <c r="W23" s="898" t="e">
        <f t="shared" si="8"/>
        <v>#REF!</v>
      </c>
      <c r="X23" s="882"/>
      <c r="Y23" s="898" t="e">
        <f t="shared" si="9"/>
        <v>#REF!</v>
      </c>
      <c r="Z23" s="882"/>
      <c r="AA23" s="898" t="e">
        <f t="shared" si="10"/>
        <v>#REF!</v>
      </c>
      <c r="AB23" s="882"/>
      <c r="AC23" s="875" t="e">
        <f t="shared" si="11"/>
        <v>#REF!</v>
      </c>
      <c r="AD23" s="882"/>
      <c r="AE23" s="875" t="e">
        <f t="shared" si="12"/>
        <v>#REF!</v>
      </c>
      <c r="AF23" s="882"/>
      <c r="AG23" s="875" t="e">
        <f t="shared" si="13"/>
        <v>#REF!</v>
      </c>
      <c r="AH23" s="880">
        <f t="shared" si="14"/>
        <v>0</v>
      </c>
      <c r="AI23" s="257" t="e">
        <f t="shared" si="15"/>
        <v>#REF!</v>
      </c>
    </row>
    <row r="24" spans="1:35" ht="75" x14ac:dyDescent="0.2">
      <c r="A24" s="503" t="s">
        <v>586</v>
      </c>
      <c r="B24" s="504">
        <v>93381</v>
      </c>
      <c r="C24" s="504"/>
      <c r="D24" s="507" t="s">
        <v>429</v>
      </c>
      <c r="E24" s="859" t="s">
        <v>539</v>
      </c>
      <c r="F24" s="506" t="e">
        <f>'Mem. Calc.'!#REF!</f>
        <v>#REF!</v>
      </c>
      <c r="G24" s="487" t="e">
        <f t="shared" si="1"/>
        <v>#REF!</v>
      </c>
      <c r="H24" s="501">
        <v>4925.1099999999997</v>
      </c>
      <c r="I24" s="1400"/>
      <c r="J24" s="872"/>
      <c r="K24" s="873" t="e">
        <f t="shared" si="2"/>
        <v>#REF!</v>
      </c>
      <c r="L24" s="874"/>
      <c r="M24" s="875" t="e">
        <f t="shared" si="3"/>
        <v>#REF!</v>
      </c>
      <c r="N24" s="874"/>
      <c r="O24" s="875" t="e">
        <f t="shared" si="4"/>
        <v>#REF!</v>
      </c>
      <c r="P24" s="874"/>
      <c r="Q24" s="875" t="e">
        <f t="shared" si="5"/>
        <v>#REF!</v>
      </c>
      <c r="R24" s="874"/>
      <c r="S24" s="898" t="e">
        <f t="shared" si="6"/>
        <v>#REF!</v>
      </c>
      <c r="T24" s="882"/>
      <c r="U24" s="898" t="e">
        <f t="shared" si="7"/>
        <v>#REF!</v>
      </c>
      <c r="V24" s="882"/>
      <c r="W24" s="898" t="e">
        <f t="shared" si="8"/>
        <v>#REF!</v>
      </c>
      <c r="X24" s="882"/>
      <c r="Y24" s="898" t="e">
        <f t="shared" si="9"/>
        <v>#REF!</v>
      </c>
      <c r="Z24" s="882"/>
      <c r="AA24" s="898" t="e">
        <f t="shared" si="10"/>
        <v>#REF!</v>
      </c>
      <c r="AB24" s="882"/>
      <c r="AC24" s="875" t="e">
        <f t="shared" si="11"/>
        <v>#REF!</v>
      </c>
      <c r="AD24" s="882"/>
      <c r="AE24" s="875" t="e">
        <f t="shared" si="12"/>
        <v>#REF!</v>
      </c>
      <c r="AF24" s="882"/>
      <c r="AG24" s="875" t="e">
        <f t="shared" si="13"/>
        <v>#REF!</v>
      </c>
      <c r="AH24" s="880">
        <f t="shared" si="14"/>
        <v>0</v>
      </c>
      <c r="AI24" s="257" t="e">
        <f t="shared" si="15"/>
        <v>#REF!</v>
      </c>
    </row>
    <row r="25" spans="1:35" ht="15" customHeight="1" x14ac:dyDescent="0.2">
      <c r="A25" s="490"/>
      <c r="B25" s="491"/>
      <c r="C25" s="491"/>
      <c r="D25" s="499" t="s">
        <v>7</v>
      </c>
      <c r="E25" s="498"/>
      <c r="F25" s="500"/>
      <c r="G25" s="494"/>
      <c r="H25" s="500">
        <f>SUM(H19:H24)</f>
        <v>85263.15</v>
      </c>
      <c r="I25" s="1400"/>
      <c r="J25" s="874"/>
      <c r="K25" s="876"/>
      <c r="L25" s="874"/>
      <c r="M25" s="875"/>
      <c r="N25" s="874"/>
      <c r="O25" s="408"/>
      <c r="P25" s="874"/>
      <c r="Q25" s="408"/>
      <c r="R25" s="874"/>
      <c r="S25" s="898"/>
      <c r="T25" s="882"/>
      <c r="U25" s="898"/>
      <c r="V25" s="882"/>
      <c r="W25" s="898"/>
      <c r="X25" s="882"/>
      <c r="Y25" s="898"/>
      <c r="Z25" s="882"/>
      <c r="AA25" s="898"/>
      <c r="AB25" s="882"/>
      <c r="AC25" s="408"/>
      <c r="AD25" s="882"/>
      <c r="AE25" s="408"/>
      <c r="AF25" s="882"/>
      <c r="AG25" s="408"/>
    </row>
    <row r="26" spans="1:35" ht="15" customHeight="1" x14ac:dyDescent="0.2">
      <c r="A26" s="490" t="s">
        <v>26</v>
      </c>
      <c r="B26" s="491"/>
      <c r="C26" s="491"/>
      <c r="D26" s="856" t="s">
        <v>133</v>
      </c>
      <c r="E26" s="498"/>
      <c r="F26" s="500"/>
      <c r="G26" s="494"/>
      <c r="H26" s="500"/>
      <c r="I26" s="1400"/>
      <c r="J26" s="874" t="s">
        <v>588</v>
      </c>
      <c r="K26" s="876"/>
      <c r="L26" s="874"/>
      <c r="M26" s="408"/>
      <c r="N26" s="874"/>
      <c r="O26" s="408"/>
      <c r="P26" s="874"/>
      <c r="Q26" s="408"/>
      <c r="R26" s="874"/>
      <c r="S26" s="898"/>
      <c r="T26" s="882"/>
      <c r="U26" s="898"/>
      <c r="V26" s="882"/>
      <c r="W26" s="898"/>
      <c r="X26" s="882"/>
      <c r="Y26" s="898"/>
      <c r="Z26" s="882"/>
      <c r="AA26" s="898"/>
      <c r="AB26" s="882"/>
      <c r="AC26" s="408"/>
      <c r="AD26" s="882"/>
      <c r="AE26" s="408"/>
      <c r="AF26" s="882"/>
      <c r="AG26" s="408"/>
    </row>
    <row r="27" spans="1:35" ht="60" x14ac:dyDescent="0.2">
      <c r="A27" s="484" t="s">
        <v>149</v>
      </c>
      <c r="B27" s="489">
        <v>92210</v>
      </c>
      <c r="C27" s="489"/>
      <c r="D27" s="507" t="s">
        <v>430</v>
      </c>
      <c r="E27" s="489" t="s">
        <v>540</v>
      </c>
      <c r="F27" s="501" t="e">
        <f>'Mem. Calc.'!#REF!</f>
        <v>#REF!</v>
      </c>
      <c r="G27" s="487" t="e">
        <f>H27/F27</f>
        <v>#REF!</v>
      </c>
      <c r="H27" s="501">
        <v>18324.82</v>
      </c>
      <c r="I27" s="1400"/>
      <c r="J27" s="872"/>
      <c r="K27" s="873" t="e">
        <f>F27*J27</f>
        <v>#REF!</v>
      </c>
      <c r="L27" s="874"/>
      <c r="M27" s="875" t="e">
        <f>F27*L27</f>
        <v>#REF!</v>
      </c>
      <c r="N27" s="874"/>
      <c r="O27" s="875" t="e">
        <f>N27*F27</f>
        <v>#REF!</v>
      </c>
      <c r="P27" s="874"/>
      <c r="Q27" s="875" t="e">
        <f>P27*F27</f>
        <v>#REF!</v>
      </c>
      <c r="R27" s="874"/>
      <c r="S27" s="898" t="e">
        <f>R27*F27</f>
        <v>#REF!</v>
      </c>
      <c r="T27" s="882"/>
      <c r="U27" s="898" t="e">
        <f>T27*F27</f>
        <v>#REF!</v>
      </c>
      <c r="V27" s="882"/>
      <c r="W27" s="898" t="e">
        <f>V27*F27</f>
        <v>#REF!</v>
      </c>
      <c r="X27" s="882"/>
      <c r="Y27" s="898" t="e">
        <f>X27*F27</f>
        <v>#REF!</v>
      </c>
      <c r="Z27" s="882"/>
      <c r="AA27" s="898" t="e">
        <f>Z27*F27</f>
        <v>#REF!</v>
      </c>
      <c r="AB27" s="882"/>
      <c r="AC27" s="875" t="e">
        <f>AB27*F27</f>
        <v>#REF!</v>
      </c>
      <c r="AD27" s="882"/>
      <c r="AE27" s="875" t="e">
        <f>AD27*F27</f>
        <v>#REF!</v>
      </c>
      <c r="AF27" s="882"/>
      <c r="AG27" s="875" t="e">
        <f>AF27*F27</f>
        <v>#REF!</v>
      </c>
      <c r="AH27" s="880">
        <f t="shared" ref="AH27:AI29" si="16">AF27+AD27+AB27+Z27+X27+V27+T27+R27+P27+N27+L27+J27</f>
        <v>0</v>
      </c>
      <c r="AI27" s="257" t="e">
        <f t="shared" si="16"/>
        <v>#REF!</v>
      </c>
    </row>
    <row r="28" spans="1:35" ht="60" x14ac:dyDescent="0.2">
      <c r="A28" s="484" t="s">
        <v>150</v>
      </c>
      <c r="B28" s="489">
        <v>92214</v>
      </c>
      <c r="C28" s="489"/>
      <c r="D28" s="507" t="s">
        <v>431</v>
      </c>
      <c r="E28" s="489" t="s">
        <v>540</v>
      </c>
      <c r="F28" s="501" t="e">
        <f>'Mem. Calc.'!#REF!</f>
        <v>#REF!</v>
      </c>
      <c r="G28" s="487" t="e">
        <f>H28/F28</f>
        <v>#REF!</v>
      </c>
      <c r="H28" s="501">
        <v>96341.06</v>
      </c>
      <c r="I28" s="1400"/>
      <c r="J28" s="872"/>
      <c r="K28" s="873" t="e">
        <f>F28*J28</f>
        <v>#REF!</v>
      </c>
      <c r="L28" s="874"/>
      <c r="M28" s="875" t="e">
        <f>F28*L28</f>
        <v>#REF!</v>
      </c>
      <c r="N28" s="874"/>
      <c r="O28" s="875" t="e">
        <f>N28*F28</f>
        <v>#REF!</v>
      </c>
      <c r="P28" s="874"/>
      <c r="Q28" s="875" t="e">
        <f>P28*F28</f>
        <v>#REF!</v>
      </c>
      <c r="R28" s="874"/>
      <c r="S28" s="898" t="e">
        <f>R28*F28</f>
        <v>#REF!</v>
      </c>
      <c r="T28" s="882"/>
      <c r="U28" s="898" t="e">
        <f>T28*F28</f>
        <v>#REF!</v>
      </c>
      <c r="V28" s="882"/>
      <c r="W28" s="898" t="e">
        <f>V28*F28</f>
        <v>#REF!</v>
      </c>
      <c r="X28" s="882"/>
      <c r="Y28" s="898" t="e">
        <f>X28*F28</f>
        <v>#REF!</v>
      </c>
      <c r="Z28" s="882"/>
      <c r="AA28" s="898" t="e">
        <f>Z28*F28</f>
        <v>#REF!</v>
      </c>
      <c r="AB28" s="882"/>
      <c r="AC28" s="875" t="e">
        <f>AB28*F28</f>
        <v>#REF!</v>
      </c>
      <c r="AD28" s="882"/>
      <c r="AE28" s="875" t="e">
        <f>AD28*F28</f>
        <v>#REF!</v>
      </c>
      <c r="AF28" s="882"/>
      <c r="AG28" s="875" t="e">
        <f>AF28*F28</f>
        <v>#REF!</v>
      </c>
      <c r="AH28" s="880">
        <f t="shared" si="16"/>
        <v>0</v>
      </c>
      <c r="AI28" s="257" t="e">
        <f t="shared" si="16"/>
        <v>#REF!</v>
      </c>
    </row>
    <row r="29" spans="1:35" ht="60" x14ac:dyDescent="0.2">
      <c r="A29" s="484" t="s">
        <v>151</v>
      </c>
      <c r="B29" s="489">
        <v>92216</v>
      </c>
      <c r="C29" s="489"/>
      <c r="D29" s="507" t="s">
        <v>432</v>
      </c>
      <c r="E29" s="489" t="s">
        <v>540</v>
      </c>
      <c r="F29" s="501" t="e">
        <f>'Mem. Calc.'!#REF!</f>
        <v>#REF!</v>
      </c>
      <c r="G29" s="487" t="e">
        <f>H29/F29</f>
        <v>#REF!</v>
      </c>
      <c r="H29" s="501">
        <v>144581.12</v>
      </c>
      <c r="I29" s="1400"/>
      <c r="J29" s="872"/>
      <c r="K29" s="873" t="e">
        <f>F29*J29</f>
        <v>#REF!</v>
      </c>
      <c r="L29" s="874"/>
      <c r="M29" s="875" t="e">
        <f>F29*L29</f>
        <v>#REF!</v>
      </c>
      <c r="N29" s="874"/>
      <c r="O29" s="875" t="e">
        <f>N29*F29</f>
        <v>#REF!</v>
      </c>
      <c r="P29" s="874"/>
      <c r="Q29" s="875" t="e">
        <f>P29*F29</f>
        <v>#REF!</v>
      </c>
      <c r="R29" s="874"/>
      <c r="S29" s="898" t="e">
        <f>R29*F29</f>
        <v>#REF!</v>
      </c>
      <c r="T29" s="882"/>
      <c r="U29" s="898" t="e">
        <f>T29*F29</f>
        <v>#REF!</v>
      </c>
      <c r="V29" s="882"/>
      <c r="W29" s="898" t="e">
        <f>V29*F29</f>
        <v>#REF!</v>
      </c>
      <c r="X29" s="882"/>
      <c r="Y29" s="898" t="e">
        <f>X29*F29</f>
        <v>#REF!</v>
      </c>
      <c r="Z29" s="882"/>
      <c r="AA29" s="898" t="e">
        <f>Z29*F29</f>
        <v>#REF!</v>
      </c>
      <c r="AB29" s="882"/>
      <c r="AC29" s="875" t="e">
        <f>AB29*F29</f>
        <v>#REF!</v>
      </c>
      <c r="AD29" s="882"/>
      <c r="AE29" s="875" t="e">
        <f>AD29*F29</f>
        <v>#REF!</v>
      </c>
      <c r="AF29" s="882"/>
      <c r="AG29" s="875" t="e">
        <f>AF29*F29</f>
        <v>#REF!</v>
      </c>
      <c r="AH29" s="880">
        <f t="shared" si="16"/>
        <v>0</v>
      </c>
      <c r="AI29" s="257" t="e">
        <f t="shared" si="16"/>
        <v>#REF!</v>
      </c>
    </row>
    <row r="30" spans="1:35" ht="15" customHeight="1" x14ac:dyDescent="0.2">
      <c r="A30" s="490"/>
      <c r="B30" s="491"/>
      <c r="C30" s="491"/>
      <c r="D30" s="499" t="s">
        <v>7</v>
      </c>
      <c r="E30" s="498"/>
      <c r="F30" s="500"/>
      <c r="G30" s="494"/>
      <c r="H30" s="500">
        <f>SUM(H27:H29)</f>
        <v>259247</v>
      </c>
      <c r="I30" s="1400"/>
      <c r="J30" s="874"/>
      <c r="K30" s="876"/>
      <c r="L30" s="874"/>
      <c r="M30" s="408"/>
      <c r="N30" s="874"/>
      <c r="O30" s="408"/>
      <c r="P30" s="874"/>
      <c r="Q30" s="408"/>
      <c r="R30" s="874"/>
      <c r="S30" s="898"/>
      <c r="T30" s="882"/>
      <c r="U30" s="898"/>
      <c r="V30" s="882"/>
      <c r="W30" s="898"/>
      <c r="X30" s="882"/>
      <c r="Y30" s="898"/>
      <c r="Z30" s="882"/>
      <c r="AA30" s="898"/>
      <c r="AB30" s="882"/>
      <c r="AC30" s="408"/>
      <c r="AD30" s="882"/>
      <c r="AE30" s="408"/>
      <c r="AF30" s="882"/>
      <c r="AG30" s="408"/>
    </row>
    <row r="31" spans="1:35" ht="15" customHeight="1" x14ac:dyDescent="0.2">
      <c r="A31" s="490" t="s">
        <v>27</v>
      </c>
      <c r="B31" s="491"/>
      <c r="C31" s="491"/>
      <c r="D31" s="856" t="s">
        <v>51</v>
      </c>
      <c r="E31" s="498"/>
      <c r="F31" s="500"/>
      <c r="G31" s="494"/>
      <c r="H31" s="500"/>
      <c r="I31" s="1400"/>
      <c r="J31" s="874"/>
      <c r="K31" s="876"/>
      <c r="L31" s="874"/>
      <c r="M31" s="408"/>
      <c r="N31" s="874"/>
      <c r="O31" s="408"/>
      <c r="P31" s="874"/>
      <c r="Q31" s="408"/>
      <c r="R31" s="874"/>
      <c r="S31" s="898"/>
      <c r="T31" s="882"/>
      <c r="U31" s="898"/>
      <c r="V31" s="882"/>
      <c r="W31" s="898"/>
      <c r="X31" s="882"/>
      <c r="Y31" s="898"/>
      <c r="Z31" s="882"/>
      <c r="AA31" s="898"/>
      <c r="AB31" s="882"/>
      <c r="AC31" s="408"/>
      <c r="AD31" s="882"/>
      <c r="AE31" s="408"/>
      <c r="AF31" s="882"/>
      <c r="AG31" s="408"/>
    </row>
    <row r="32" spans="1:35" ht="30" x14ac:dyDescent="0.2">
      <c r="A32" s="484" t="s">
        <v>39</v>
      </c>
      <c r="B32" s="859">
        <v>83710</v>
      </c>
      <c r="C32" s="859"/>
      <c r="D32" s="857" t="s">
        <v>532</v>
      </c>
      <c r="E32" s="489" t="s">
        <v>49</v>
      </c>
      <c r="F32" s="501" t="e">
        <f>'Mem. Calc.'!#REF!</f>
        <v>#REF!</v>
      </c>
      <c r="G32" s="487" t="e">
        <f t="shared" ref="G32:G37" si="17">H32/F32</f>
        <v>#REF!</v>
      </c>
      <c r="H32" s="501">
        <v>14498.19</v>
      </c>
      <c r="I32" s="1400"/>
      <c r="J32" s="872"/>
      <c r="K32" s="873" t="e">
        <f t="shared" ref="K32:K37" si="18">F32*J32</f>
        <v>#REF!</v>
      </c>
      <c r="L32" s="874"/>
      <c r="M32" s="875" t="e">
        <f t="shared" ref="M32:M37" si="19">F32*L32</f>
        <v>#REF!</v>
      </c>
      <c r="N32" s="874"/>
      <c r="O32" s="875" t="e">
        <f t="shared" ref="O32:O37" si="20">N32*F32</f>
        <v>#REF!</v>
      </c>
      <c r="P32" s="874"/>
      <c r="Q32" s="875" t="e">
        <f t="shared" ref="Q32:Q37" si="21">P32*F32</f>
        <v>#REF!</v>
      </c>
      <c r="R32" s="874"/>
      <c r="S32" s="898" t="e">
        <f t="shared" ref="S32:S37" si="22">R32*F32</f>
        <v>#REF!</v>
      </c>
      <c r="T32" s="882"/>
      <c r="U32" s="898" t="e">
        <f t="shared" ref="U32:U37" si="23">T32*F32</f>
        <v>#REF!</v>
      </c>
      <c r="V32" s="882"/>
      <c r="W32" s="898" t="e">
        <f t="shared" ref="W32:W37" si="24">V32*F32</f>
        <v>#REF!</v>
      </c>
      <c r="X32" s="882"/>
      <c r="Y32" s="898" t="e">
        <f t="shared" ref="Y32:Y37" si="25">X32*F32</f>
        <v>#REF!</v>
      </c>
      <c r="Z32" s="882"/>
      <c r="AA32" s="898" t="e">
        <f t="shared" ref="AA32:AA37" si="26">Z32*F32</f>
        <v>#REF!</v>
      </c>
      <c r="AB32" s="882"/>
      <c r="AC32" s="875" t="e">
        <f t="shared" ref="AC32:AC37" si="27">AB32*F32</f>
        <v>#REF!</v>
      </c>
      <c r="AD32" s="882"/>
      <c r="AE32" s="875" t="e">
        <f t="shared" ref="AE32:AE37" si="28">AD32*F32</f>
        <v>#REF!</v>
      </c>
      <c r="AF32" s="882"/>
      <c r="AG32" s="875" t="e">
        <f t="shared" ref="AG32:AG37" si="29">AF32*F32</f>
        <v>#REF!</v>
      </c>
      <c r="AH32" s="880">
        <f t="shared" ref="AH32:AH37" si="30">AF32+AD32+AB32+Z32+X32+V32+T32+R32+P32+N32+L32+J32</f>
        <v>0</v>
      </c>
      <c r="AI32" s="257" t="e">
        <f t="shared" ref="AI32:AI37" si="31">AG32+AE32+AC32+AA32+Y32+W32+U32+S32+Q32+O32+M32+K32</f>
        <v>#REF!</v>
      </c>
    </row>
    <row r="33" spans="1:35" ht="30" x14ac:dyDescent="0.2">
      <c r="A33" s="484" t="s">
        <v>152</v>
      </c>
      <c r="B33" s="859">
        <v>83711</v>
      </c>
      <c r="C33" s="859"/>
      <c r="D33" s="857" t="s">
        <v>533</v>
      </c>
      <c r="E33" s="489" t="s">
        <v>49</v>
      </c>
      <c r="F33" s="501" t="e">
        <f>'Mem. Calc.'!#REF!</f>
        <v>#REF!</v>
      </c>
      <c r="G33" s="487" t="e">
        <f t="shared" si="17"/>
        <v>#REF!</v>
      </c>
      <c r="H33" s="501">
        <v>29397.48</v>
      </c>
      <c r="I33" s="1400"/>
      <c r="J33" s="872"/>
      <c r="K33" s="873" t="e">
        <f t="shared" si="18"/>
        <v>#REF!</v>
      </c>
      <c r="L33" s="874"/>
      <c r="M33" s="875" t="e">
        <f t="shared" si="19"/>
        <v>#REF!</v>
      </c>
      <c r="N33" s="874"/>
      <c r="O33" s="875" t="e">
        <f t="shared" si="20"/>
        <v>#REF!</v>
      </c>
      <c r="P33" s="874"/>
      <c r="Q33" s="875" t="e">
        <f t="shared" si="21"/>
        <v>#REF!</v>
      </c>
      <c r="R33" s="874"/>
      <c r="S33" s="898" t="e">
        <f t="shared" si="22"/>
        <v>#REF!</v>
      </c>
      <c r="T33" s="882"/>
      <c r="U33" s="898" t="e">
        <f t="shared" si="23"/>
        <v>#REF!</v>
      </c>
      <c r="V33" s="882"/>
      <c r="W33" s="898" t="e">
        <f t="shared" si="24"/>
        <v>#REF!</v>
      </c>
      <c r="X33" s="882"/>
      <c r="Y33" s="898" t="e">
        <f t="shared" si="25"/>
        <v>#REF!</v>
      </c>
      <c r="Z33" s="882"/>
      <c r="AA33" s="898" t="e">
        <f t="shared" si="26"/>
        <v>#REF!</v>
      </c>
      <c r="AB33" s="882"/>
      <c r="AC33" s="875" t="e">
        <f t="shared" si="27"/>
        <v>#REF!</v>
      </c>
      <c r="AD33" s="882"/>
      <c r="AE33" s="875" t="e">
        <f t="shared" si="28"/>
        <v>#REF!</v>
      </c>
      <c r="AF33" s="882"/>
      <c r="AG33" s="875" t="e">
        <f t="shared" si="29"/>
        <v>#REF!</v>
      </c>
      <c r="AH33" s="880">
        <f t="shared" si="30"/>
        <v>0</v>
      </c>
      <c r="AI33" s="257" t="e">
        <f t="shared" si="31"/>
        <v>#REF!</v>
      </c>
    </row>
    <row r="34" spans="1:35" ht="30" x14ac:dyDescent="0.2">
      <c r="A34" s="484" t="s">
        <v>240</v>
      </c>
      <c r="B34" s="859">
        <v>83715</v>
      </c>
      <c r="C34" s="859"/>
      <c r="D34" s="857" t="s">
        <v>534</v>
      </c>
      <c r="E34" s="489" t="s">
        <v>540</v>
      </c>
      <c r="F34" s="501" t="e">
        <f>'Mem. Calc.'!#REF!</f>
        <v>#REF!</v>
      </c>
      <c r="G34" s="487" t="e">
        <f t="shared" si="17"/>
        <v>#REF!</v>
      </c>
      <c r="H34" s="501">
        <v>8061.65</v>
      </c>
      <c r="I34" s="1400"/>
      <c r="J34" s="872"/>
      <c r="K34" s="873" t="e">
        <f t="shared" si="18"/>
        <v>#REF!</v>
      </c>
      <c r="L34" s="874"/>
      <c r="M34" s="875" t="e">
        <f t="shared" si="19"/>
        <v>#REF!</v>
      </c>
      <c r="N34" s="874"/>
      <c r="O34" s="875" t="e">
        <f t="shared" si="20"/>
        <v>#REF!</v>
      </c>
      <c r="P34" s="874"/>
      <c r="Q34" s="875" t="e">
        <f t="shared" si="21"/>
        <v>#REF!</v>
      </c>
      <c r="R34" s="874"/>
      <c r="S34" s="898" t="e">
        <f t="shared" si="22"/>
        <v>#REF!</v>
      </c>
      <c r="T34" s="882"/>
      <c r="U34" s="898" t="e">
        <f t="shared" si="23"/>
        <v>#REF!</v>
      </c>
      <c r="V34" s="882"/>
      <c r="W34" s="898" t="e">
        <f t="shared" si="24"/>
        <v>#REF!</v>
      </c>
      <c r="X34" s="882"/>
      <c r="Y34" s="898" t="e">
        <f t="shared" si="25"/>
        <v>#REF!</v>
      </c>
      <c r="Z34" s="882"/>
      <c r="AA34" s="898" t="e">
        <f t="shared" si="26"/>
        <v>#REF!</v>
      </c>
      <c r="AB34" s="882"/>
      <c r="AC34" s="875" t="e">
        <f t="shared" si="27"/>
        <v>#REF!</v>
      </c>
      <c r="AD34" s="882"/>
      <c r="AE34" s="875" t="e">
        <f t="shared" si="28"/>
        <v>#REF!</v>
      </c>
      <c r="AF34" s="882"/>
      <c r="AG34" s="875" t="e">
        <f t="shared" si="29"/>
        <v>#REF!</v>
      </c>
      <c r="AH34" s="880">
        <f t="shared" si="30"/>
        <v>0</v>
      </c>
      <c r="AI34" s="257" t="e">
        <f t="shared" si="31"/>
        <v>#REF!</v>
      </c>
    </row>
    <row r="35" spans="1:35" ht="60" x14ac:dyDescent="0.2">
      <c r="A35" s="484" t="s">
        <v>245</v>
      </c>
      <c r="B35" s="859">
        <v>83627</v>
      </c>
      <c r="C35" s="859"/>
      <c r="D35" s="857" t="s">
        <v>535</v>
      </c>
      <c r="E35" s="489" t="s">
        <v>49</v>
      </c>
      <c r="F35" s="501" t="e">
        <f>'Mem. Calc.'!#REF!</f>
        <v>#REF!</v>
      </c>
      <c r="G35" s="487" t="e">
        <f t="shared" si="17"/>
        <v>#REF!</v>
      </c>
      <c r="H35" s="501">
        <v>5791.52</v>
      </c>
      <c r="I35" s="1400"/>
      <c r="J35" s="872"/>
      <c r="K35" s="873" t="e">
        <f t="shared" si="18"/>
        <v>#REF!</v>
      </c>
      <c r="L35" s="874"/>
      <c r="M35" s="875" t="e">
        <f t="shared" si="19"/>
        <v>#REF!</v>
      </c>
      <c r="N35" s="874"/>
      <c r="O35" s="875" t="e">
        <f t="shared" si="20"/>
        <v>#REF!</v>
      </c>
      <c r="P35" s="874"/>
      <c r="Q35" s="875" t="e">
        <f t="shared" si="21"/>
        <v>#REF!</v>
      </c>
      <c r="R35" s="874"/>
      <c r="S35" s="898" t="e">
        <f t="shared" si="22"/>
        <v>#REF!</v>
      </c>
      <c r="T35" s="882"/>
      <c r="U35" s="898" t="e">
        <f t="shared" si="23"/>
        <v>#REF!</v>
      </c>
      <c r="V35" s="882"/>
      <c r="W35" s="898" t="e">
        <f t="shared" si="24"/>
        <v>#REF!</v>
      </c>
      <c r="X35" s="882"/>
      <c r="Y35" s="898" t="e">
        <f t="shared" si="25"/>
        <v>#REF!</v>
      </c>
      <c r="Z35" s="882"/>
      <c r="AA35" s="898" t="e">
        <f t="shared" si="26"/>
        <v>#REF!</v>
      </c>
      <c r="AB35" s="882"/>
      <c r="AC35" s="875" t="e">
        <f t="shared" si="27"/>
        <v>#REF!</v>
      </c>
      <c r="AD35" s="882"/>
      <c r="AE35" s="875" t="e">
        <f t="shared" si="28"/>
        <v>#REF!</v>
      </c>
      <c r="AF35" s="882"/>
      <c r="AG35" s="875" t="e">
        <f t="shared" si="29"/>
        <v>#REF!</v>
      </c>
      <c r="AH35" s="880">
        <f t="shared" si="30"/>
        <v>0</v>
      </c>
      <c r="AI35" s="257" t="e">
        <f t="shared" si="31"/>
        <v>#REF!</v>
      </c>
    </row>
    <row r="36" spans="1:35" ht="45" x14ac:dyDescent="0.2">
      <c r="A36" s="484" t="s">
        <v>246</v>
      </c>
      <c r="B36" s="489">
        <v>83659</v>
      </c>
      <c r="C36" s="489"/>
      <c r="D36" s="507" t="s">
        <v>486</v>
      </c>
      <c r="E36" s="489" t="s">
        <v>49</v>
      </c>
      <c r="F36" s="501" t="e">
        <f>'Mem. Calc.'!#REF!</f>
        <v>#REF!</v>
      </c>
      <c r="G36" s="487" t="e">
        <f t="shared" si="17"/>
        <v>#REF!</v>
      </c>
      <c r="H36" s="501">
        <v>18699.650000000001</v>
      </c>
      <c r="I36" s="1400"/>
      <c r="J36" s="872"/>
      <c r="K36" s="873" t="e">
        <f t="shared" si="18"/>
        <v>#REF!</v>
      </c>
      <c r="L36" s="874"/>
      <c r="M36" s="875" t="e">
        <f t="shared" si="19"/>
        <v>#REF!</v>
      </c>
      <c r="N36" s="874"/>
      <c r="O36" s="875" t="e">
        <f t="shared" si="20"/>
        <v>#REF!</v>
      </c>
      <c r="P36" s="874"/>
      <c r="Q36" s="875" t="e">
        <f t="shared" si="21"/>
        <v>#REF!</v>
      </c>
      <c r="R36" s="874"/>
      <c r="S36" s="898" t="e">
        <f t="shared" si="22"/>
        <v>#REF!</v>
      </c>
      <c r="T36" s="882"/>
      <c r="U36" s="898" t="e">
        <f t="shared" si="23"/>
        <v>#REF!</v>
      </c>
      <c r="V36" s="882"/>
      <c r="W36" s="898" t="e">
        <f t="shared" si="24"/>
        <v>#REF!</v>
      </c>
      <c r="X36" s="882"/>
      <c r="Y36" s="898" t="e">
        <f t="shared" si="25"/>
        <v>#REF!</v>
      </c>
      <c r="Z36" s="882"/>
      <c r="AA36" s="898" t="e">
        <f t="shared" si="26"/>
        <v>#REF!</v>
      </c>
      <c r="AB36" s="882"/>
      <c r="AC36" s="875" t="e">
        <f t="shared" si="27"/>
        <v>#REF!</v>
      </c>
      <c r="AD36" s="882"/>
      <c r="AE36" s="875" t="e">
        <f t="shared" si="28"/>
        <v>#REF!</v>
      </c>
      <c r="AF36" s="882"/>
      <c r="AG36" s="875" t="e">
        <f t="shared" si="29"/>
        <v>#REF!</v>
      </c>
      <c r="AH36" s="880">
        <f t="shared" si="30"/>
        <v>0</v>
      </c>
      <c r="AI36" s="257" t="e">
        <f t="shared" si="31"/>
        <v>#REF!</v>
      </c>
    </row>
    <row r="37" spans="1:35" ht="45" x14ac:dyDescent="0.2">
      <c r="A37" s="484" t="s">
        <v>595</v>
      </c>
      <c r="B37" s="489">
        <v>83690</v>
      </c>
      <c r="C37" s="489"/>
      <c r="D37" s="507" t="s">
        <v>536</v>
      </c>
      <c r="E37" s="859" t="s">
        <v>539</v>
      </c>
      <c r="F37" s="501" t="e">
        <f>'Mem. Calc.'!#REF!</f>
        <v>#REF!</v>
      </c>
      <c r="G37" s="487" t="e">
        <f t="shared" si="17"/>
        <v>#REF!</v>
      </c>
      <c r="H37" s="501">
        <v>1111.24</v>
      </c>
      <c r="I37" s="1400"/>
      <c r="J37" s="872"/>
      <c r="K37" s="873" t="e">
        <f t="shared" si="18"/>
        <v>#REF!</v>
      </c>
      <c r="L37" s="874"/>
      <c r="M37" s="875" t="e">
        <f t="shared" si="19"/>
        <v>#REF!</v>
      </c>
      <c r="N37" s="874"/>
      <c r="O37" s="875" t="e">
        <f t="shared" si="20"/>
        <v>#REF!</v>
      </c>
      <c r="P37" s="874"/>
      <c r="Q37" s="875" t="e">
        <f t="shared" si="21"/>
        <v>#REF!</v>
      </c>
      <c r="R37" s="874"/>
      <c r="S37" s="898" t="e">
        <f t="shared" si="22"/>
        <v>#REF!</v>
      </c>
      <c r="T37" s="882"/>
      <c r="U37" s="898" t="e">
        <f t="shared" si="23"/>
        <v>#REF!</v>
      </c>
      <c r="V37" s="882"/>
      <c r="W37" s="898" t="e">
        <f t="shared" si="24"/>
        <v>#REF!</v>
      </c>
      <c r="X37" s="882"/>
      <c r="Y37" s="898" t="e">
        <f t="shared" si="25"/>
        <v>#REF!</v>
      </c>
      <c r="Z37" s="882"/>
      <c r="AA37" s="898" t="e">
        <f t="shared" si="26"/>
        <v>#REF!</v>
      </c>
      <c r="AB37" s="882"/>
      <c r="AC37" s="875" t="e">
        <f t="shared" si="27"/>
        <v>#REF!</v>
      </c>
      <c r="AD37" s="882"/>
      <c r="AE37" s="875" t="e">
        <f t="shared" si="28"/>
        <v>#REF!</v>
      </c>
      <c r="AF37" s="882"/>
      <c r="AG37" s="875" t="e">
        <f t="shared" si="29"/>
        <v>#REF!</v>
      </c>
      <c r="AH37" s="880">
        <f t="shared" si="30"/>
        <v>0</v>
      </c>
      <c r="AI37" s="257" t="e">
        <f t="shared" si="31"/>
        <v>#REF!</v>
      </c>
    </row>
    <row r="38" spans="1:35" s="246" customFormat="1" ht="14.25" customHeight="1" x14ac:dyDescent="0.2">
      <c r="A38" s="490"/>
      <c r="B38" s="498"/>
      <c r="C38" s="498"/>
      <c r="D38" s="856" t="s">
        <v>7</v>
      </c>
      <c r="E38" s="498"/>
      <c r="F38" s="500"/>
      <c r="G38" s="494"/>
      <c r="H38" s="500">
        <f>SUM(H32:H37)</f>
        <v>77559.73</v>
      </c>
      <c r="I38" s="1400"/>
      <c r="J38" s="877"/>
      <c r="K38" s="878"/>
      <c r="L38" s="877"/>
      <c r="M38" s="879"/>
      <c r="N38" s="877"/>
      <c r="O38" s="879"/>
      <c r="P38" s="877"/>
      <c r="Q38" s="879"/>
      <c r="R38" s="877"/>
      <c r="S38" s="899"/>
      <c r="T38" s="883"/>
      <c r="U38" s="899"/>
      <c r="V38" s="883"/>
      <c r="W38" s="899"/>
      <c r="X38" s="883"/>
      <c r="Y38" s="899"/>
      <c r="Z38" s="883"/>
      <c r="AA38" s="899"/>
      <c r="AB38" s="883"/>
      <c r="AC38" s="879"/>
      <c r="AD38" s="883"/>
      <c r="AE38" s="879"/>
      <c r="AF38" s="883"/>
      <c r="AG38" s="879"/>
    </row>
    <row r="39" spans="1:35" s="246" customFormat="1" ht="14.25" customHeight="1" x14ac:dyDescent="0.2">
      <c r="A39" s="490" t="s">
        <v>28</v>
      </c>
      <c r="B39" s="498"/>
      <c r="C39" s="498"/>
      <c r="D39" s="856" t="s">
        <v>52</v>
      </c>
      <c r="E39" s="498"/>
      <c r="F39" s="499"/>
      <c r="G39" s="494"/>
      <c r="H39" s="500"/>
      <c r="I39" s="1400"/>
      <c r="J39" s="877"/>
      <c r="K39" s="878"/>
      <c r="L39" s="877"/>
      <c r="M39" s="879"/>
      <c r="N39" s="877"/>
      <c r="O39" s="879"/>
      <c r="P39" s="877"/>
      <c r="Q39" s="879"/>
      <c r="R39" s="877"/>
      <c r="S39" s="899"/>
      <c r="T39" s="883"/>
      <c r="U39" s="899"/>
      <c r="V39" s="883"/>
      <c r="W39" s="899"/>
      <c r="X39" s="883"/>
      <c r="Y39" s="899"/>
      <c r="Z39" s="883"/>
      <c r="AA39" s="899"/>
      <c r="AB39" s="883"/>
      <c r="AC39" s="879"/>
      <c r="AD39" s="883"/>
      <c r="AE39" s="879"/>
      <c r="AF39" s="883"/>
      <c r="AG39" s="879"/>
    </row>
    <row r="40" spans="1:35" ht="15" customHeight="1" x14ac:dyDescent="0.2">
      <c r="A40" s="484" t="s">
        <v>40</v>
      </c>
      <c r="B40" s="489" t="s">
        <v>53</v>
      </c>
      <c r="C40" s="489"/>
      <c r="D40" s="507" t="s">
        <v>54</v>
      </c>
      <c r="E40" s="489" t="s">
        <v>540</v>
      </c>
      <c r="F40" s="501" t="e">
        <f>'Mem. Calc.'!#REF!</f>
        <v>#REF!</v>
      </c>
      <c r="G40" s="487" t="e">
        <f>H40/F40</f>
        <v>#REF!</v>
      </c>
      <c r="H40" s="501">
        <v>663.23</v>
      </c>
      <c r="I40" s="1400"/>
      <c r="J40" s="872"/>
      <c r="K40" s="873" t="e">
        <f>F40*J40</f>
        <v>#REF!</v>
      </c>
      <c r="L40" s="874"/>
      <c r="M40" s="875" t="e">
        <f>F40*L40</f>
        <v>#REF!</v>
      </c>
      <c r="N40" s="874"/>
      <c r="O40" s="875" t="e">
        <f>N40*F40</f>
        <v>#REF!</v>
      </c>
      <c r="P40" s="874"/>
      <c r="Q40" s="875" t="e">
        <f>P40*F40</f>
        <v>#REF!</v>
      </c>
      <c r="R40" s="874"/>
      <c r="S40" s="898" t="e">
        <f>R40*F40</f>
        <v>#REF!</v>
      </c>
      <c r="T40" s="882"/>
      <c r="U40" s="898" t="e">
        <f>T40*F40</f>
        <v>#REF!</v>
      </c>
      <c r="V40" s="882"/>
      <c r="W40" s="898" t="e">
        <f>V40*F40</f>
        <v>#REF!</v>
      </c>
      <c r="X40" s="882"/>
      <c r="Y40" s="898" t="e">
        <f>X40*F40</f>
        <v>#REF!</v>
      </c>
      <c r="Z40" s="882"/>
      <c r="AA40" s="898" t="e">
        <f>Z40*F40</f>
        <v>#REF!</v>
      </c>
      <c r="AB40" s="882"/>
      <c r="AC40" s="875" t="e">
        <f>AB40*F40</f>
        <v>#REF!</v>
      </c>
      <c r="AD40" s="882"/>
      <c r="AE40" s="875" t="e">
        <f>AD40*F40</f>
        <v>#REF!</v>
      </c>
      <c r="AF40" s="882"/>
      <c r="AG40" s="875" t="e">
        <f>AF40*F40</f>
        <v>#REF!</v>
      </c>
      <c r="AH40" s="880">
        <f>AF40+AD40+AB40+Z40+X40+V40+T40+R40+P40+N40+L40+J40</f>
        <v>0</v>
      </c>
      <c r="AI40" s="257" t="e">
        <f>AG40+AE40+AC40+AA40+Y40+W40+U40+S40+Q40+O40+M40+K40</f>
        <v>#REF!</v>
      </c>
    </row>
    <row r="41" spans="1:35" s="246" customFormat="1" ht="14.25" customHeight="1" x14ac:dyDescent="0.2">
      <c r="A41" s="490"/>
      <c r="B41" s="491"/>
      <c r="C41" s="491"/>
      <c r="D41" s="499" t="s">
        <v>7</v>
      </c>
      <c r="E41" s="498"/>
      <c r="F41" s="500"/>
      <c r="G41" s="494"/>
      <c r="H41" s="500">
        <f>SUM(H40)</f>
        <v>663.23</v>
      </c>
      <c r="I41" s="1401"/>
      <c r="J41" s="877"/>
      <c r="K41" s="878"/>
      <c r="L41" s="877"/>
      <c r="M41" s="879"/>
      <c r="N41" s="877"/>
      <c r="O41" s="879"/>
      <c r="P41" s="877"/>
      <c r="Q41" s="879"/>
      <c r="R41" s="877"/>
      <c r="S41" s="899"/>
      <c r="T41" s="883"/>
      <c r="U41" s="899"/>
      <c r="V41" s="883"/>
      <c r="W41" s="899"/>
      <c r="X41" s="883"/>
      <c r="Y41" s="899"/>
      <c r="Z41" s="883"/>
      <c r="AA41" s="899"/>
      <c r="AB41" s="883"/>
      <c r="AC41" s="879"/>
      <c r="AD41" s="883"/>
      <c r="AE41" s="879"/>
      <c r="AF41" s="883"/>
      <c r="AG41" s="879"/>
    </row>
    <row r="42" spans="1:35" x14ac:dyDescent="0.2">
      <c r="A42" s="478">
        <v>4</v>
      </c>
      <c r="B42" s="479"/>
      <c r="C42" s="479"/>
      <c r="D42" s="495" t="s">
        <v>213</v>
      </c>
      <c r="E42" s="509"/>
      <c r="F42" s="510"/>
      <c r="G42" s="482"/>
      <c r="H42" s="511"/>
      <c r="I42" s="870"/>
      <c r="J42" s="874"/>
      <c r="K42" s="876"/>
      <c r="L42" s="874"/>
      <c r="M42" s="408"/>
      <c r="N42" s="874"/>
      <c r="O42" s="408"/>
      <c r="P42" s="874"/>
      <c r="Q42" s="408"/>
      <c r="R42" s="874"/>
      <c r="S42" s="898"/>
      <c r="T42" s="882"/>
      <c r="U42" s="898"/>
      <c r="V42" s="882"/>
      <c r="W42" s="898"/>
      <c r="X42" s="882"/>
      <c r="Y42" s="898"/>
      <c r="Z42" s="882"/>
      <c r="AA42" s="898"/>
      <c r="AB42" s="882"/>
      <c r="AC42" s="408"/>
      <c r="AD42" s="882"/>
      <c r="AE42" s="408"/>
      <c r="AF42" s="882"/>
      <c r="AG42" s="408"/>
    </row>
    <row r="43" spans="1:35" s="890" customFormat="1" x14ac:dyDescent="0.2">
      <c r="A43" s="884" t="s">
        <v>161</v>
      </c>
      <c r="B43" s="885"/>
      <c r="C43" s="885"/>
      <c r="D43" s="895" t="s">
        <v>340</v>
      </c>
      <c r="E43" s="895"/>
      <c r="F43" s="895"/>
      <c r="G43" s="886"/>
      <c r="H43" s="887"/>
      <c r="I43" s="1402">
        <f>(SUM(H43:H74)/2)/H75</f>
        <v>0.62519999999999998</v>
      </c>
      <c r="J43" s="882"/>
      <c r="K43" s="888"/>
      <c r="L43" s="882"/>
      <c r="M43" s="889"/>
      <c r="N43" s="882"/>
      <c r="O43" s="889"/>
      <c r="P43" s="882"/>
      <c r="Q43" s="889"/>
      <c r="R43" s="882"/>
      <c r="S43" s="900"/>
      <c r="T43" s="882"/>
      <c r="U43" s="900"/>
      <c r="V43" s="882"/>
      <c r="W43" s="900"/>
      <c r="X43" s="882"/>
      <c r="Y43" s="900"/>
      <c r="Z43" s="882"/>
      <c r="AA43" s="900"/>
      <c r="AB43" s="882"/>
      <c r="AC43" s="889"/>
      <c r="AD43" s="882"/>
      <c r="AE43" s="889"/>
      <c r="AF43" s="882"/>
      <c r="AG43" s="889"/>
    </row>
    <row r="44" spans="1:35" ht="45" x14ac:dyDescent="0.2">
      <c r="A44" s="484" t="s">
        <v>487</v>
      </c>
      <c r="B44" s="516" t="s">
        <v>141</v>
      </c>
      <c r="C44" s="516"/>
      <c r="D44" s="517" t="s">
        <v>142</v>
      </c>
      <c r="E44" s="518" t="s">
        <v>539</v>
      </c>
      <c r="F44" s="519">
        <f>'Mem. Calc.'!E16</f>
        <v>3052.68</v>
      </c>
      <c r="G44" s="487">
        <f>H44/F44</f>
        <v>2.25</v>
      </c>
      <c r="H44" s="519">
        <v>6857.31</v>
      </c>
      <c r="I44" s="1403"/>
      <c r="J44" s="872"/>
      <c r="K44" s="873">
        <f>F44*J44</f>
        <v>0</v>
      </c>
      <c r="L44" s="874"/>
      <c r="M44" s="875">
        <f>F44*L44</f>
        <v>0</v>
      </c>
      <c r="N44" s="874"/>
      <c r="O44" s="875">
        <f>N44*F44</f>
        <v>0</v>
      </c>
      <c r="P44" s="874">
        <v>0.3</v>
      </c>
      <c r="Q44" s="875">
        <f>P44*F44</f>
        <v>915.8</v>
      </c>
      <c r="R44" s="874">
        <v>0.2</v>
      </c>
      <c r="S44" s="898">
        <f>R44*F44</f>
        <v>611</v>
      </c>
      <c r="T44" s="882">
        <v>0.2</v>
      </c>
      <c r="U44" s="898">
        <f>T44*F44</f>
        <v>611</v>
      </c>
      <c r="V44" s="882">
        <v>0.2</v>
      </c>
      <c r="W44" s="898">
        <f>V44*F44</f>
        <v>611</v>
      </c>
      <c r="X44" s="882">
        <v>0.1</v>
      </c>
      <c r="Y44" s="898">
        <f>X44*F44</f>
        <v>305</v>
      </c>
      <c r="Z44" s="882"/>
      <c r="AA44" s="898">
        <f>Z44*F44</f>
        <v>0</v>
      </c>
      <c r="AB44" s="882"/>
      <c r="AC44" s="875">
        <f>AB44*F44</f>
        <v>0</v>
      </c>
      <c r="AD44" s="882"/>
      <c r="AE44" s="875">
        <f>AD44*F44</f>
        <v>0</v>
      </c>
      <c r="AF44" s="882"/>
      <c r="AG44" s="875">
        <f>AF44*F44</f>
        <v>0</v>
      </c>
      <c r="AH44" s="880">
        <f>AF44+AD44+AB44+Z44+X44+V44+T44+R44+P44+N44+L44+J44</f>
        <v>1</v>
      </c>
      <c r="AI44" s="257">
        <f>AG44+AE44+AC44+AA44+Y44+W44+U44+S44+Q44+O44+M44+K44</f>
        <v>3053.8</v>
      </c>
    </row>
    <row r="45" spans="1:35" ht="30" x14ac:dyDescent="0.2">
      <c r="A45" s="484" t="s">
        <v>488</v>
      </c>
      <c r="B45" s="489">
        <v>95296</v>
      </c>
      <c r="C45" s="489"/>
      <c r="D45" s="488" t="s">
        <v>537</v>
      </c>
      <c r="E45" s="808" t="s">
        <v>541</v>
      </c>
      <c r="F45" s="515">
        <f>'Mem. Calc.'!E17</f>
        <v>7021.16</v>
      </c>
      <c r="G45" s="487">
        <f>H45/F45</f>
        <v>3.97</v>
      </c>
      <c r="H45" s="515">
        <v>27878.11</v>
      </c>
      <c r="I45" s="1403"/>
      <c r="J45" s="872"/>
      <c r="K45" s="873">
        <f>F45*J45</f>
        <v>0</v>
      </c>
      <c r="L45" s="874"/>
      <c r="M45" s="875">
        <f>F45*L45</f>
        <v>0</v>
      </c>
      <c r="N45" s="874"/>
      <c r="O45" s="875">
        <f>N45*F45</f>
        <v>0</v>
      </c>
      <c r="P45" s="874">
        <f>P44</f>
        <v>0.3</v>
      </c>
      <c r="Q45" s="875">
        <f>P45*F45</f>
        <v>2106.35</v>
      </c>
      <c r="R45" s="874">
        <v>0.2</v>
      </c>
      <c r="S45" s="898">
        <f>R45*F45</f>
        <v>1404</v>
      </c>
      <c r="T45" s="882">
        <v>0.2</v>
      </c>
      <c r="U45" s="898">
        <f>T45*F45</f>
        <v>1404</v>
      </c>
      <c r="V45" s="882">
        <v>0.2</v>
      </c>
      <c r="W45" s="898">
        <f>V45*F45</f>
        <v>1404</v>
      </c>
      <c r="X45" s="882">
        <v>0.1</v>
      </c>
      <c r="Y45" s="898">
        <f>X45*F45</f>
        <v>702</v>
      </c>
      <c r="Z45" s="882"/>
      <c r="AA45" s="898">
        <f>Z45*F45</f>
        <v>0</v>
      </c>
      <c r="AB45" s="882"/>
      <c r="AC45" s="875">
        <f>AB45*F45</f>
        <v>0</v>
      </c>
      <c r="AD45" s="882"/>
      <c r="AE45" s="875">
        <f>AD45*F45</f>
        <v>0</v>
      </c>
      <c r="AF45" s="882"/>
      <c r="AG45" s="875">
        <f>AF45*F45</f>
        <v>0</v>
      </c>
      <c r="AH45" s="880">
        <f>AF45+AD45+AB45+Z45+X45+V45+T45+R45+P45+N45+L45+J45</f>
        <v>1</v>
      </c>
      <c r="AI45" s="257">
        <f>AG45+AE45+AC45+AA45+Y45+W45+U45+S45+Q45+O45+M45+K45</f>
        <v>7020.35</v>
      </c>
    </row>
    <row r="46" spans="1:35" x14ac:dyDescent="0.2">
      <c r="A46" s="520"/>
      <c r="B46" s="521"/>
      <c r="C46" s="521"/>
      <c r="D46" s="522" t="s">
        <v>7</v>
      </c>
      <c r="E46" s="523"/>
      <c r="F46" s="524"/>
      <c r="G46" s="525"/>
      <c r="H46" s="524">
        <f>SUM(H44:H45)</f>
        <v>34735.42</v>
      </c>
      <c r="I46" s="1403"/>
      <c r="J46" s="874"/>
      <c r="K46" s="876"/>
      <c r="L46" s="874"/>
      <c r="M46" s="408"/>
      <c r="N46" s="874"/>
      <c r="O46" s="408"/>
      <c r="P46" s="874"/>
      <c r="Q46" s="408"/>
      <c r="R46" s="874"/>
      <c r="S46" s="898"/>
      <c r="T46" s="882"/>
      <c r="U46" s="898"/>
      <c r="V46" s="882"/>
      <c r="W46" s="898"/>
      <c r="X46" s="882"/>
      <c r="Y46" s="898"/>
      <c r="Z46" s="882"/>
      <c r="AA46" s="898"/>
      <c r="AB46" s="882"/>
      <c r="AC46" s="408"/>
      <c r="AD46" s="882"/>
      <c r="AE46" s="408"/>
      <c r="AF46" s="882"/>
      <c r="AG46" s="408"/>
    </row>
    <row r="47" spans="1:35" x14ac:dyDescent="0.2">
      <c r="A47" s="490" t="s">
        <v>162</v>
      </c>
      <c r="B47" s="491"/>
      <c r="C47" s="491"/>
      <c r="D47" s="513" t="s">
        <v>42</v>
      </c>
      <c r="E47" s="513"/>
      <c r="F47" s="513"/>
      <c r="G47" s="494"/>
      <c r="H47" s="514"/>
      <c r="I47" s="1403"/>
      <c r="J47" s="874"/>
      <c r="K47" s="876"/>
      <c r="L47" s="874"/>
      <c r="M47" s="408"/>
      <c r="N47" s="874"/>
      <c r="O47" s="408"/>
      <c r="P47" s="874"/>
      <c r="Q47" s="408"/>
      <c r="R47" s="874"/>
      <c r="S47" s="898"/>
      <c r="T47" s="874"/>
      <c r="U47" s="898"/>
      <c r="V47" s="874"/>
      <c r="W47" s="898"/>
      <c r="X47" s="874"/>
      <c r="Y47" s="898"/>
      <c r="Z47" s="874"/>
      <c r="AA47" s="898"/>
      <c r="AB47" s="874"/>
      <c r="AC47" s="408"/>
      <c r="AD47" s="874"/>
      <c r="AE47" s="408"/>
      <c r="AF47" s="874"/>
      <c r="AG47" s="408"/>
    </row>
    <row r="48" spans="1:35" ht="30" x14ac:dyDescent="0.2">
      <c r="A48" s="484" t="s">
        <v>489</v>
      </c>
      <c r="B48" s="489">
        <v>72961</v>
      </c>
      <c r="C48" s="489"/>
      <c r="D48" s="488" t="s">
        <v>104</v>
      </c>
      <c r="E48" s="859" t="s">
        <v>6</v>
      </c>
      <c r="F48" s="515">
        <f>'Mem. Calc.'!E19</f>
        <v>8721.93</v>
      </c>
      <c r="G48" s="487">
        <f t="shared" ref="G48:G60" si="32">H48/F48</f>
        <v>2.15</v>
      </c>
      <c r="H48" s="515">
        <v>18749.36</v>
      </c>
      <c r="I48" s="1403"/>
      <c r="J48" s="872"/>
      <c r="K48" s="873">
        <f t="shared" ref="K48:K60" si="33">F48*J48</f>
        <v>0</v>
      </c>
      <c r="L48" s="874"/>
      <c r="M48" s="875">
        <f t="shared" ref="M48:M60" si="34">F48*L48</f>
        <v>0</v>
      </c>
      <c r="N48" s="874"/>
      <c r="O48" s="875">
        <f t="shared" ref="O48:O60" si="35">N48*F48</f>
        <v>0</v>
      </c>
      <c r="P48" s="874"/>
      <c r="Q48" s="875">
        <f t="shared" ref="Q48:Q60" si="36">P48*F48</f>
        <v>0</v>
      </c>
      <c r="R48" s="874">
        <v>0.3</v>
      </c>
      <c r="S48" s="898">
        <f t="shared" ref="S48:S60" si="37">R48*F48</f>
        <v>2617</v>
      </c>
      <c r="T48" s="882">
        <v>0.2</v>
      </c>
      <c r="U48" s="898">
        <f t="shared" ref="U48:U60" si="38">T48*F48</f>
        <v>1744</v>
      </c>
      <c r="V48" s="882">
        <v>0.2</v>
      </c>
      <c r="W48" s="898">
        <f t="shared" ref="W48:W60" si="39">V48*F48</f>
        <v>1744</v>
      </c>
      <c r="X48" s="882">
        <v>0.2</v>
      </c>
      <c r="Y48" s="898">
        <f t="shared" ref="Y48:Y60" si="40">X48*F48</f>
        <v>1744</v>
      </c>
      <c r="Z48" s="882">
        <v>0.1</v>
      </c>
      <c r="AA48" s="898">
        <f t="shared" ref="AA48:AA60" si="41">Z48*F48</f>
        <v>872</v>
      </c>
      <c r="AB48" s="882"/>
      <c r="AC48" s="875">
        <f t="shared" ref="AC48:AC60" si="42">AB48*F48</f>
        <v>0</v>
      </c>
      <c r="AD48" s="882"/>
      <c r="AE48" s="875">
        <f t="shared" ref="AE48:AE60" si="43">AD48*F48</f>
        <v>0</v>
      </c>
      <c r="AF48" s="882"/>
      <c r="AG48" s="875">
        <f t="shared" ref="AG48:AG60" si="44">AF48*F48</f>
        <v>0</v>
      </c>
      <c r="AH48" s="880">
        <f t="shared" ref="AH48:AH60" si="45">AF48+AD48+AB48+Z48+X48+V48+T48+R48+P48+N48+L48+J48</f>
        <v>1</v>
      </c>
      <c r="AI48" s="257">
        <f t="shared" ref="AI48:AI60" si="46">AG48+AE48+AC48+AA48+Y48+W48+U48+S48+Q48+O48+M48+K48</f>
        <v>8721</v>
      </c>
    </row>
    <row r="49" spans="1:35" ht="45" x14ac:dyDescent="0.2">
      <c r="A49" s="484" t="s">
        <v>490</v>
      </c>
      <c r="B49" s="489" t="s">
        <v>542</v>
      </c>
      <c r="C49" s="489"/>
      <c r="D49" s="488" t="s">
        <v>543</v>
      </c>
      <c r="E49" s="859" t="s">
        <v>31</v>
      </c>
      <c r="F49" s="515">
        <f>'Mem. Calc.'!E20</f>
        <v>3052.68</v>
      </c>
      <c r="G49" s="487">
        <f t="shared" si="32"/>
        <v>4.24</v>
      </c>
      <c r="H49" s="515">
        <v>12940.8</v>
      </c>
      <c r="I49" s="1403"/>
      <c r="J49" s="872"/>
      <c r="K49" s="873">
        <f t="shared" si="33"/>
        <v>0</v>
      </c>
      <c r="L49" s="874"/>
      <c r="M49" s="875">
        <f t="shared" si="34"/>
        <v>0</v>
      </c>
      <c r="N49" s="874"/>
      <c r="O49" s="875">
        <f t="shared" si="35"/>
        <v>0</v>
      </c>
      <c r="P49" s="874"/>
      <c r="Q49" s="875">
        <f t="shared" si="36"/>
        <v>0</v>
      </c>
      <c r="R49" s="874">
        <f>R48</f>
        <v>0.3</v>
      </c>
      <c r="S49" s="898">
        <f t="shared" si="37"/>
        <v>916</v>
      </c>
      <c r="T49" s="882">
        <f>T48</f>
        <v>0.2</v>
      </c>
      <c r="U49" s="898">
        <f t="shared" si="38"/>
        <v>611</v>
      </c>
      <c r="V49" s="882">
        <f>V48</f>
        <v>0.2</v>
      </c>
      <c r="W49" s="898">
        <f t="shared" si="39"/>
        <v>611</v>
      </c>
      <c r="X49" s="882">
        <f>X48</f>
        <v>0.2</v>
      </c>
      <c r="Y49" s="898">
        <f t="shared" si="40"/>
        <v>611</v>
      </c>
      <c r="Z49" s="882">
        <f>Z48</f>
        <v>0.1</v>
      </c>
      <c r="AA49" s="898">
        <f t="shared" si="41"/>
        <v>305</v>
      </c>
      <c r="AB49" s="882"/>
      <c r="AC49" s="875">
        <f t="shared" si="42"/>
        <v>0</v>
      </c>
      <c r="AD49" s="882"/>
      <c r="AE49" s="875">
        <f t="shared" si="43"/>
        <v>0</v>
      </c>
      <c r="AF49" s="882"/>
      <c r="AG49" s="875">
        <f t="shared" si="44"/>
        <v>0</v>
      </c>
      <c r="AH49" s="880">
        <f t="shared" si="45"/>
        <v>1</v>
      </c>
      <c r="AI49" s="257">
        <f t="shared" si="46"/>
        <v>3054</v>
      </c>
    </row>
    <row r="50" spans="1:35" ht="30" x14ac:dyDescent="0.2">
      <c r="A50" s="484" t="s">
        <v>491</v>
      </c>
      <c r="B50" s="489">
        <v>95296</v>
      </c>
      <c r="C50" s="504"/>
      <c r="D50" s="517" t="s">
        <v>544</v>
      </c>
      <c r="E50" s="808" t="s">
        <v>541</v>
      </c>
      <c r="F50" s="515">
        <v>29708</v>
      </c>
      <c r="G50" s="487">
        <f t="shared" si="32"/>
        <v>1.97</v>
      </c>
      <c r="H50" s="515">
        <v>58527.73</v>
      </c>
      <c r="I50" s="1403"/>
      <c r="J50" s="872"/>
      <c r="K50" s="873">
        <f t="shared" si="33"/>
        <v>0</v>
      </c>
      <c r="L50" s="874"/>
      <c r="M50" s="875">
        <f t="shared" si="34"/>
        <v>0</v>
      </c>
      <c r="N50" s="874"/>
      <c r="O50" s="875">
        <f t="shared" si="35"/>
        <v>0</v>
      </c>
      <c r="P50" s="874"/>
      <c r="Q50" s="875">
        <f t="shared" si="36"/>
        <v>0</v>
      </c>
      <c r="R50" s="874">
        <f t="shared" ref="R50:R60" si="47">R49</f>
        <v>0.3</v>
      </c>
      <c r="S50" s="898">
        <f t="shared" si="37"/>
        <v>8912</v>
      </c>
      <c r="T50" s="882">
        <f t="shared" ref="T50:T60" si="48">T49</f>
        <v>0.2</v>
      </c>
      <c r="U50" s="898">
        <f t="shared" si="38"/>
        <v>5942</v>
      </c>
      <c r="V50" s="882">
        <f t="shared" ref="V50:V60" si="49">V49</f>
        <v>0.2</v>
      </c>
      <c r="W50" s="898">
        <f t="shared" si="39"/>
        <v>5942</v>
      </c>
      <c r="X50" s="882">
        <f t="shared" ref="X50:X60" si="50">X49</f>
        <v>0.2</v>
      </c>
      <c r="Y50" s="898">
        <f t="shared" si="40"/>
        <v>5942</v>
      </c>
      <c r="Z50" s="882">
        <f t="shared" ref="Z50:Z60" si="51">Z49</f>
        <v>0.1</v>
      </c>
      <c r="AA50" s="898">
        <f t="shared" si="41"/>
        <v>2971</v>
      </c>
      <c r="AB50" s="882"/>
      <c r="AC50" s="875">
        <f t="shared" si="42"/>
        <v>0</v>
      </c>
      <c r="AD50" s="882"/>
      <c r="AE50" s="875">
        <f t="shared" si="43"/>
        <v>0</v>
      </c>
      <c r="AF50" s="882"/>
      <c r="AG50" s="875">
        <f t="shared" si="44"/>
        <v>0</v>
      </c>
      <c r="AH50" s="880">
        <f t="shared" si="45"/>
        <v>1</v>
      </c>
      <c r="AI50" s="257">
        <f t="shared" si="46"/>
        <v>29709</v>
      </c>
    </row>
    <row r="51" spans="1:35" ht="59.25" x14ac:dyDescent="0.2">
      <c r="A51" s="484" t="s">
        <v>492</v>
      </c>
      <c r="B51" s="504">
        <v>72911</v>
      </c>
      <c r="C51" s="504"/>
      <c r="D51" s="517" t="s">
        <v>590</v>
      </c>
      <c r="E51" s="859" t="s">
        <v>31</v>
      </c>
      <c r="F51" s="519">
        <f>'Mem. Calc.'!E23</f>
        <v>1744.38</v>
      </c>
      <c r="G51" s="487">
        <f t="shared" si="32"/>
        <v>8.17</v>
      </c>
      <c r="H51" s="519">
        <v>14245.91</v>
      </c>
      <c r="I51" s="1403"/>
      <c r="J51" s="872"/>
      <c r="K51" s="873">
        <f t="shared" si="33"/>
        <v>0</v>
      </c>
      <c r="L51" s="874"/>
      <c r="M51" s="875">
        <f t="shared" si="34"/>
        <v>0</v>
      </c>
      <c r="N51" s="874"/>
      <c r="O51" s="875">
        <f t="shared" si="35"/>
        <v>0</v>
      </c>
      <c r="P51" s="874"/>
      <c r="Q51" s="875">
        <f t="shared" si="36"/>
        <v>0</v>
      </c>
      <c r="R51" s="874">
        <f t="shared" si="47"/>
        <v>0.3</v>
      </c>
      <c r="S51" s="898">
        <f t="shared" si="37"/>
        <v>523</v>
      </c>
      <c r="T51" s="882">
        <f t="shared" si="48"/>
        <v>0.2</v>
      </c>
      <c r="U51" s="898">
        <f t="shared" si="38"/>
        <v>349</v>
      </c>
      <c r="V51" s="882">
        <f t="shared" si="49"/>
        <v>0.2</v>
      </c>
      <c r="W51" s="898">
        <f t="shared" si="39"/>
        <v>349</v>
      </c>
      <c r="X51" s="882">
        <f t="shared" si="50"/>
        <v>0.2</v>
      </c>
      <c r="Y51" s="898">
        <f t="shared" si="40"/>
        <v>349</v>
      </c>
      <c r="Z51" s="882">
        <f t="shared" si="51"/>
        <v>0.1</v>
      </c>
      <c r="AA51" s="898">
        <f t="shared" si="41"/>
        <v>174</v>
      </c>
      <c r="AB51" s="882"/>
      <c r="AC51" s="875">
        <f t="shared" si="42"/>
        <v>0</v>
      </c>
      <c r="AD51" s="882"/>
      <c r="AE51" s="875">
        <f t="shared" si="43"/>
        <v>0</v>
      </c>
      <c r="AF51" s="882"/>
      <c r="AG51" s="875">
        <f t="shared" si="44"/>
        <v>0</v>
      </c>
      <c r="AH51" s="880">
        <f t="shared" si="45"/>
        <v>1</v>
      </c>
      <c r="AI51" s="257">
        <f t="shared" si="46"/>
        <v>1744</v>
      </c>
    </row>
    <row r="52" spans="1:35" ht="45" x14ac:dyDescent="0.2">
      <c r="A52" s="484" t="s">
        <v>493</v>
      </c>
      <c r="B52" s="504">
        <v>72911</v>
      </c>
      <c r="C52" s="504"/>
      <c r="D52" s="517" t="s">
        <v>591</v>
      </c>
      <c r="E52" s="859" t="s">
        <v>31</v>
      </c>
      <c r="F52" s="519">
        <f>'Mem. Calc.'!E24</f>
        <v>1308.3</v>
      </c>
      <c r="G52" s="487">
        <f t="shared" si="32"/>
        <v>10.89</v>
      </c>
      <c r="H52" s="519">
        <v>14245.91</v>
      </c>
      <c r="I52" s="1403"/>
      <c r="J52" s="872"/>
      <c r="K52" s="873">
        <f t="shared" si="33"/>
        <v>0</v>
      </c>
      <c r="L52" s="874"/>
      <c r="M52" s="875">
        <f t="shared" si="34"/>
        <v>0</v>
      </c>
      <c r="N52" s="874"/>
      <c r="O52" s="875">
        <f t="shared" si="35"/>
        <v>0</v>
      </c>
      <c r="P52" s="874"/>
      <c r="Q52" s="875">
        <f t="shared" si="36"/>
        <v>0</v>
      </c>
      <c r="R52" s="874">
        <f t="shared" si="47"/>
        <v>0.3</v>
      </c>
      <c r="S52" s="898">
        <f t="shared" si="37"/>
        <v>392</v>
      </c>
      <c r="T52" s="882">
        <f t="shared" si="48"/>
        <v>0.2</v>
      </c>
      <c r="U52" s="898">
        <f t="shared" si="38"/>
        <v>262</v>
      </c>
      <c r="V52" s="882">
        <f t="shared" si="49"/>
        <v>0.2</v>
      </c>
      <c r="W52" s="898">
        <f t="shared" si="39"/>
        <v>262</v>
      </c>
      <c r="X52" s="882">
        <f t="shared" si="50"/>
        <v>0.2</v>
      </c>
      <c r="Y52" s="898">
        <f t="shared" si="40"/>
        <v>262</v>
      </c>
      <c r="Z52" s="882">
        <f t="shared" si="51"/>
        <v>0.1</v>
      </c>
      <c r="AA52" s="898">
        <f t="shared" si="41"/>
        <v>131</v>
      </c>
      <c r="AB52" s="882"/>
      <c r="AC52" s="875">
        <f t="shared" si="42"/>
        <v>0</v>
      </c>
      <c r="AD52" s="882"/>
      <c r="AE52" s="875">
        <f t="shared" si="43"/>
        <v>0</v>
      </c>
      <c r="AF52" s="882"/>
      <c r="AG52" s="875">
        <f t="shared" si="44"/>
        <v>0</v>
      </c>
      <c r="AH52" s="880">
        <f t="shared" si="45"/>
        <v>1</v>
      </c>
      <c r="AI52" s="257">
        <f t="shared" si="46"/>
        <v>1309</v>
      </c>
    </row>
    <row r="53" spans="1:35" x14ac:dyDescent="0.2">
      <c r="A53" s="484" t="s">
        <v>494</v>
      </c>
      <c r="B53" s="504" t="s">
        <v>589</v>
      </c>
      <c r="C53" s="504"/>
      <c r="D53" s="517" t="s">
        <v>228</v>
      </c>
      <c r="E53" s="859"/>
      <c r="F53" s="519">
        <v>3713.5</v>
      </c>
      <c r="G53" s="487">
        <f t="shared" si="32"/>
        <v>1.43</v>
      </c>
      <c r="H53" s="519">
        <v>5293.97</v>
      </c>
      <c r="I53" s="1403"/>
      <c r="J53" s="872"/>
      <c r="K53" s="873">
        <f t="shared" si="33"/>
        <v>0</v>
      </c>
      <c r="L53" s="874"/>
      <c r="M53" s="875">
        <f t="shared" si="34"/>
        <v>0</v>
      </c>
      <c r="N53" s="874"/>
      <c r="O53" s="875">
        <f t="shared" si="35"/>
        <v>0</v>
      </c>
      <c r="P53" s="874"/>
      <c r="Q53" s="875">
        <f t="shared" si="36"/>
        <v>0</v>
      </c>
      <c r="R53" s="874">
        <f t="shared" si="47"/>
        <v>0.3</v>
      </c>
      <c r="S53" s="898">
        <f t="shared" si="37"/>
        <v>1114</v>
      </c>
      <c r="T53" s="882">
        <f t="shared" si="48"/>
        <v>0.2</v>
      </c>
      <c r="U53" s="898">
        <f t="shared" si="38"/>
        <v>743</v>
      </c>
      <c r="V53" s="882">
        <f t="shared" si="49"/>
        <v>0.2</v>
      </c>
      <c r="W53" s="898">
        <f t="shared" si="39"/>
        <v>743</v>
      </c>
      <c r="X53" s="882">
        <f t="shared" si="50"/>
        <v>0.2</v>
      </c>
      <c r="Y53" s="898">
        <f t="shared" si="40"/>
        <v>743</v>
      </c>
      <c r="Z53" s="882">
        <f t="shared" si="51"/>
        <v>0.1</v>
      </c>
      <c r="AA53" s="898">
        <f t="shared" si="41"/>
        <v>371</v>
      </c>
      <c r="AB53" s="882"/>
      <c r="AC53" s="875">
        <f t="shared" si="42"/>
        <v>0</v>
      </c>
      <c r="AD53" s="882"/>
      <c r="AE53" s="875">
        <f t="shared" si="43"/>
        <v>0</v>
      </c>
      <c r="AF53" s="882"/>
      <c r="AG53" s="875">
        <f t="shared" si="44"/>
        <v>0</v>
      </c>
      <c r="AH53" s="880">
        <f t="shared" si="45"/>
        <v>1</v>
      </c>
      <c r="AI53" s="257">
        <f t="shared" si="46"/>
        <v>3714</v>
      </c>
    </row>
    <row r="54" spans="1:35" ht="30" x14ac:dyDescent="0.2">
      <c r="A54" s="484" t="s">
        <v>495</v>
      </c>
      <c r="B54" s="504" t="s">
        <v>230</v>
      </c>
      <c r="C54" s="504"/>
      <c r="D54" s="517" t="s">
        <v>229</v>
      </c>
      <c r="E54" s="859"/>
      <c r="F54" s="519">
        <v>10</v>
      </c>
      <c r="G54" s="487">
        <f t="shared" si="32"/>
        <v>149.33000000000001</v>
      </c>
      <c r="H54" s="519">
        <v>1493.32</v>
      </c>
      <c r="I54" s="1403"/>
      <c r="J54" s="872"/>
      <c r="K54" s="873">
        <f t="shared" si="33"/>
        <v>0</v>
      </c>
      <c r="L54" s="874"/>
      <c r="M54" s="875">
        <f t="shared" si="34"/>
        <v>0</v>
      </c>
      <c r="N54" s="874"/>
      <c r="O54" s="875">
        <f t="shared" si="35"/>
        <v>0</v>
      </c>
      <c r="P54" s="874"/>
      <c r="Q54" s="875">
        <f t="shared" si="36"/>
        <v>0</v>
      </c>
      <c r="R54" s="874">
        <f t="shared" si="47"/>
        <v>0.3</v>
      </c>
      <c r="S54" s="898">
        <f t="shared" si="37"/>
        <v>3</v>
      </c>
      <c r="T54" s="882">
        <f t="shared" si="48"/>
        <v>0.2</v>
      </c>
      <c r="U54" s="898">
        <f t="shared" si="38"/>
        <v>2</v>
      </c>
      <c r="V54" s="882">
        <f t="shared" si="49"/>
        <v>0.2</v>
      </c>
      <c r="W54" s="898">
        <f t="shared" si="39"/>
        <v>2</v>
      </c>
      <c r="X54" s="882">
        <f t="shared" si="50"/>
        <v>0.2</v>
      </c>
      <c r="Y54" s="898">
        <f t="shared" si="40"/>
        <v>2</v>
      </c>
      <c r="Z54" s="882">
        <f t="shared" si="51"/>
        <v>0.1</v>
      </c>
      <c r="AA54" s="898">
        <f t="shared" si="41"/>
        <v>1</v>
      </c>
      <c r="AB54" s="882"/>
      <c r="AC54" s="875">
        <f t="shared" si="42"/>
        <v>0</v>
      </c>
      <c r="AD54" s="882"/>
      <c r="AE54" s="875">
        <f t="shared" si="43"/>
        <v>0</v>
      </c>
      <c r="AF54" s="882"/>
      <c r="AG54" s="875">
        <f t="shared" si="44"/>
        <v>0</v>
      </c>
      <c r="AH54" s="880">
        <f t="shared" si="45"/>
        <v>1</v>
      </c>
      <c r="AI54" s="257">
        <f t="shared" si="46"/>
        <v>10</v>
      </c>
    </row>
    <row r="55" spans="1:35" x14ac:dyDescent="0.2">
      <c r="A55" s="484" t="s">
        <v>496</v>
      </c>
      <c r="B55" s="504" t="s">
        <v>233</v>
      </c>
      <c r="C55" s="504"/>
      <c r="D55" s="517" t="s">
        <v>232</v>
      </c>
      <c r="E55" s="859"/>
      <c r="F55" s="519">
        <v>10</v>
      </c>
      <c r="G55" s="487">
        <f t="shared" si="32"/>
        <v>115.39</v>
      </c>
      <c r="H55" s="519">
        <v>1153.8499999999999</v>
      </c>
      <c r="I55" s="1403"/>
      <c r="J55" s="872"/>
      <c r="K55" s="873">
        <f t="shared" si="33"/>
        <v>0</v>
      </c>
      <c r="L55" s="874"/>
      <c r="M55" s="875">
        <f t="shared" si="34"/>
        <v>0</v>
      </c>
      <c r="N55" s="874"/>
      <c r="O55" s="875">
        <f t="shared" si="35"/>
        <v>0</v>
      </c>
      <c r="P55" s="874"/>
      <c r="Q55" s="875">
        <f t="shared" si="36"/>
        <v>0</v>
      </c>
      <c r="R55" s="874">
        <f t="shared" si="47"/>
        <v>0.3</v>
      </c>
      <c r="S55" s="898">
        <f t="shared" si="37"/>
        <v>3</v>
      </c>
      <c r="T55" s="882">
        <f t="shared" si="48"/>
        <v>0.2</v>
      </c>
      <c r="U55" s="898">
        <f t="shared" si="38"/>
        <v>2</v>
      </c>
      <c r="V55" s="882">
        <f t="shared" si="49"/>
        <v>0.2</v>
      </c>
      <c r="W55" s="898">
        <f t="shared" si="39"/>
        <v>2</v>
      </c>
      <c r="X55" s="882">
        <f t="shared" si="50"/>
        <v>0.2</v>
      </c>
      <c r="Y55" s="898">
        <f t="shared" si="40"/>
        <v>2</v>
      </c>
      <c r="Z55" s="882">
        <f t="shared" si="51"/>
        <v>0.1</v>
      </c>
      <c r="AA55" s="898">
        <f t="shared" si="41"/>
        <v>1</v>
      </c>
      <c r="AB55" s="882"/>
      <c r="AC55" s="875">
        <f t="shared" si="42"/>
        <v>0</v>
      </c>
      <c r="AD55" s="882"/>
      <c r="AE55" s="875">
        <f t="shared" si="43"/>
        <v>0</v>
      </c>
      <c r="AF55" s="882"/>
      <c r="AG55" s="875">
        <f t="shared" si="44"/>
        <v>0</v>
      </c>
      <c r="AH55" s="880">
        <f t="shared" si="45"/>
        <v>1</v>
      </c>
      <c r="AI55" s="257">
        <f t="shared" si="46"/>
        <v>10</v>
      </c>
    </row>
    <row r="56" spans="1:35" ht="15" customHeight="1" x14ac:dyDescent="0.2">
      <c r="A56" s="484" t="s">
        <v>497</v>
      </c>
      <c r="B56" s="1376" t="str">
        <f>COMPOSIÇÕES!A21</f>
        <v>COMPOSIÇÃO 03</v>
      </c>
      <c r="C56" s="1377"/>
      <c r="D56" s="517" t="str">
        <f>COMPOSIÇÕES!B21</f>
        <v>EXECUÇÃO DE IMPRIMAÇÃO COM ASFALTO DILUÍDO CM-30. AF_11/2019</v>
      </c>
      <c r="E56" s="516" t="str">
        <f>COMPOSIÇÕES!F21</f>
        <v>M2</v>
      </c>
      <c r="F56" s="519">
        <f>'Mem. Calc.'!E25</f>
        <v>7896.8</v>
      </c>
      <c r="G56" s="487">
        <f t="shared" si="32"/>
        <v>8.49</v>
      </c>
      <c r="H56" s="519">
        <v>67045.8</v>
      </c>
      <c r="I56" s="1403"/>
      <c r="J56" s="872"/>
      <c r="K56" s="873">
        <f t="shared" si="33"/>
        <v>0</v>
      </c>
      <c r="L56" s="874"/>
      <c r="M56" s="875">
        <f t="shared" si="34"/>
        <v>0</v>
      </c>
      <c r="N56" s="874"/>
      <c r="O56" s="875">
        <f t="shared" si="35"/>
        <v>0</v>
      </c>
      <c r="P56" s="874"/>
      <c r="Q56" s="875">
        <f t="shared" si="36"/>
        <v>0</v>
      </c>
      <c r="R56" s="874">
        <f t="shared" si="47"/>
        <v>0.3</v>
      </c>
      <c r="S56" s="898">
        <f t="shared" si="37"/>
        <v>2369</v>
      </c>
      <c r="T56" s="882">
        <f t="shared" si="48"/>
        <v>0.2</v>
      </c>
      <c r="U56" s="898">
        <f t="shared" si="38"/>
        <v>1579</v>
      </c>
      <c r="V56" s="882">
        <f t="shared" si="49"/>
        <v>0.2</v>
      </c>
      <c r="W56" s="898">
        <f t="shared" si="39"/>
        <v>1579</v>
      </c>
      <c r="X56" s="882">
        <f t="shared" si="50"/>
        <v>0.2</v>
      </c>
      <c r="Y56" s="898">
        <f t="shared" si="40"/>
        <v>1579</v>
      </c>
      <c r="Z56" s="882">
        <f t="shared" si="51"/>
        <v>0.1</v>
      </c>
      <c r="AA56" s="898">
        <f t="shared" si="41"/>
        <v>790</v>
      </c>
      <c r="AB56" s="882"/>
      <c r="AC56" s="875">
        <f t="shared" si="42"/>
        <v>0</v>
      </c>
      <c r="AD56" s="882"/>
      <c r="AE56" s="875">
        <f t="shared" si="43"/>
        <v>0</v>
      </c>
      <c r="AF56" s="882"/>
      <c r="AG56" s="875">
        <f t="shared" si="44"/>
        <v>0</v>
      </c>
      <c r="AH56" s="880">
        <f t="shared" si="45"/>
        <v>1</v>
      </c>
      <c r="AI56" s="257">
        <f t="shared" si="46"/>
        <v>7896</v>
      </c>
    </row>
    <row r="57" spans="1:35" ht="30" x14ac:dyDescent="0.2">
      <c r="A57" s="484" t="s">
        <v>498</v>
      </c>
      <c r="B57" s="1376" t="str">
        <f>COMPOSIÇÕES!A35</f>
        <v>COMPOSIÇÃO 04</v>
      </c>
      <c r="C57" s="1377"/>
      <c r="D57" s="517" t="str">
        <f>COMPOSIÇÕES!B35</f>
        <v>PAVIMENTO COM TRATAMENTO SUPERFICIAL DUPLO, COM EMULSÃO ASFÁLTICA RR-2C, COM CAPA SELANTE. AF_01/2020</v>
      </c>
      <c r="E57" s="516" t="str">
        <f>COMPOSIÇÕES!F35</f>
        <v>M2</v>
      </c>
      <c r="F57" s="519">
        <f>'Mem. Calc.'!E26</f>
        <v>7896.8</v>
      </c>
      <c r="G57" s="487">
        <f t="shared" si="32"/>
        <v>11.17</v>
      </c>
      <c r="H57" s="519">
        <v>88212.33</v>
      </c>
      <c r="I57" s="1403"/>
      <c r="J57" s="872"/>
      <c r="K57" s="873">
        <f t="shared" si="33"/>
        <v>0</v>
      </c>
      <c r="L57" s="874"/>
      <c r="M57" s="875">
        <f t="shared" si="34"/>
        <v>0</v>
      </c>
      <c r="N57" s="874"/>
      <c r="O57" s="875">
        <f t="shared" si="35"/>
        <v>0</v>
      </c>
      <c r="P57" s="874"/>
      <c r="Q57" s="875">
        <f t="shared" si="36"/>
        <v>0</v>
      </c>
      <c r="R57" s="874">
        <f t="shared" si="47"/>
        <v>0.3</v>
      </c>
      <c r="S57" s="898">
        <f t="shared" si="37"/>
        <v>2369</v>
      </c>
      <c r="T57" s="882">
        <f t="shared" si="48"/>
        <v>0.2</v>
      </c>
      <c r="U57" s="898">
        <f t="shared" si="38"/>
        <v>1579</v>
      </c>
      <c r="V57" s="882">
        <f t="shared" si="49"/>
        <v>0.2</v>
      </c>
      <c r="W57" s="898">
        <f t="shared" si="39"/>
        <v>1579</v>
      </c>
      <c r="X57" s="882">
        <f t="shared" si="50"/>
        <v>0.2</v>
      </c>
      <c r="Y57" s="898">
        <f t="shared" si="40"/>
        <v>1579</v>
      </c>
      <c r="Z57" s="882">
        <f t="shared" si="51"/>
        <v>0.1</v>
      </c>
      <c r="AA57" s="898">
        <f t="shared" si="41"/>
        <v>790</v>
      </c>
      <c r="AB57" s="882"/>
      <c r="AC57" s="875">
        <f t="shared" si="42"/>
        <v>0</v>
      </c>
      <c r="AD57" s="882"/>
      <c r="AE57" s="875">
        <f t="shared" si="43"/>
        <v>0</v>
      </c>
      <c r="AF57" s="882"/>
      <c r="AG57" s="875">
        <f t="shared" si="44"/>
        <v>0</v>
      </c>
      <c r="AH57" s="880">
        <f t="shared" si="45"/>
        <v>1</v>
      </c>
      <c r="AI57" s="257">
        <f t="shared" si="46"/>
        <v>7896</v>
      </c>
    </row>
    <row r="58" spans="1:35" x14ac:dyDescent="0.2">
      <c r="A58" s="484" t="s">
        <v>592</v>
      </c>
      <c r="B58" s="1376" t="e">
        <f>COMPOSIÇÕES!#REF!</f>
        <v>#REF!</v>
      </c>
      <c r="C58" s="1377"/>
      <c r="D58" s="517" t="e">
        <f>COMPOSIÇÕES!#REF!</f>
        <v>#REF!</v>
      </c>
      <c r="E58" s="516" t="e">
        <f>COMPOSIÇÕES!#REF!</f>
        <v>#REF!</v>
      </c>
      <c r="F58" s="519" t="e">
        <f>'Mem. Calc.'!#REF!</f>
        <v>#REF!</v>
      </c>
      <c r="G58" s="487" t="e">
        <f t="shared" si="32"/>
        <v>#REF!</v>
      </c>
      <c r="H58" s="519">
        <v>45103.54</v>
      </c>
      <c r="I58" s="1403"/>
      <c r="J58" s="872"/>
      <c r="K58" s="873" t="e">
        <f t="shared" si="33"/>
        <v>#REF!</v>
      </c>
      <c r="L58" s="874"/>
      <c r="M58" s="875" t="e">
        <f t="shared" si="34"/>
        <v>#REF!</v>
      </c>
      <c r="N58" s="874"/>
      <c r="O58" s="875" t="e">
        <f t="shared" si="35"/>
        <v>#REF!</v>
      </c>
      <c r="P58" s="874"/>
      <c r="Q58" s="875" t="e">
        <f t="shared" si="36"/>
        <v>#REF!</v>
      </c>
      <c r="R58" s="874">
        <f t="shared" si="47"/>
        <v>0.3</v>
      </c>
      <c r="S58" s="898" t="e">
        <f t="shared" si="37"/>
        <v>#REF!</v>
      </c>
      <c r="T58" s="882">
        <f t="shared" si="48"/>
        <v>0.2</v>
      </c>
      <c r="U58" s="898" t="e">
        <f t="shared" si="38"/>
        <v>#REF!</v>
      </c>
      <c r="V58" s="882">
        <f t="shared" si="49"/>
        <v>0.2</v>
      </c>
      <c r="W58" s="898" t="e">
        <f t="shared" si="39"/>
        <v>#REF!</v>
      </c>
      <c r="X58" s="882">
        <f t="shared" si="50"/>
        <v>0.2</v>
      </c>
      <c r="Y58" s="898" t="e">
        <f t="shared" si="40"/>
        <v>#REF!</v>
      </c>
      <c r="Z58" s="882">
        <f t="shared" si="51"/>
        <v>0.1</v>
      </c>
      <c r="AA58" s="898" t="e">
        <f t="shared" si="41"/>
        <v>#REF!</v>
      </c>
      <c r="AB58" s="882"/>
      <c r="AC58" s="875" t="e">
        <f t="shared" si="42"/>
        <v>#REF!</v>
      </c>
      <c r="AD58" s="882"/>
      <c r="AE58" s="875" t="e">
        <f t="shared" si="43"/>
        <v>#REF!</v>
      </c>
      <c r="AF58" s="882"/>
      <c r="AG58" s="875" t="e">
        <f t="shared" si="44"/>
        <v>#REF!</v>
      </c>
      <c r="AH58" s="880">
        <f t="shared" si="45"/>
        <v>1</v>
      </c>
      <c r="AI58" s="257" t="e">
        <f t="shared" si="46"/>
        <v>#REF!</v>
      </c>
    </row>
    <row r="59" spans="1:35" ht="60" x14ac:dyDescent="0.2">
      <c r="A59" s="484" t="s">
        <v>593</v>
      </c>
      <c r="B59" s="504">
        <v>93176</v>
      </c>
      <c r="C59" s="504"/>
      <c r="D59" s="517" t="s">
        <v>425</v>
      </c>
      <c r="E59" s="518" t="s">
        <v>239</v>
      </c>
      <c r="F59" s="519">
        <f>'Mem. Calc.'!E27</f>
        <v>8528.4</v>
      </c>
      <c r="G59" s="487">
        <f t="shared" si="32"/>
        <v>1.06</v>
      </c>
      <c r="H59" s="519">
        <v>9054.81</v>
      </c>
      <c r="I59" s="1403"/>
      <c r="J59" s="872"/>
      <c r="K59" s="873">
        <f t="shared" si="33"/>
        <v>0</v>
      </c>
      <c r="L59" s="874"/>
      <c r="M59" s="875">
        <f t="shared" si="34"/>
        <v>0</v>
      </c>
      <c r="N59" s="874"/>
      <c r="O59" s="875">
        <f t="shared" si="35"/>
        <v>0</v>
      </c>
      <c r="P59" s="874"/>
      <c r="Q59" s="875">
        <f t="shared" si="36"/>
        <v>0</v>
      </c>
      <c r="R59" s="874">
        <f t="shared" si="47"/>
        <v>0.3</v>
      </c>
      <c r="S59" s="898">
        <f t="shared" si="37"/>
        <v>2559</v>
      </c>
      <c r="T59" s="882">
        <f t="shared" si="48"/>
        <v>0.2</v>
      </c>
      <c r="U59" s="898">
        <f t="shared" si="38"/>
        <v>1706</v>
      </c>
      <c r="V59" s="882">
        <f t="shared" si="49"/>
        <v>0.2</v>
      </c>
      <c r="W59" s="898">
        <f t="shared" si="39"/>
        <v>1706</v>
      </c>
      <c r="X59" s="882">
        <f t="shared" si="50"/>
        <v>0.2</v>
      </c>
      <c r="Y59" s="898">
        <f t="shared" si="40"/>
        <v>1706</v>
      </c>
      <c r="Z59" s="882">
        <f t="shared" si="51"/>
        <v>0.1</v>
      </c>
      <c r="AA59" s="898">
        <f t="shared" si="41"/>
        <v>853</v>
      </c>
      <c r="AB59" s="882"/>
      <c r="AC59" s="875">
        <f t="shared" si="42"/>
        <v>0</v>
      </c>
      <c r="AD59" s="882"/>
      <c r="AE59" s="875">
        <f t="shared" si="43"/>
        <v>0</v>
      </c>
      <c r="AF59" s="882"/>
      <c r="AG59" s="875">
        <f t="shared" si="44"/>
        <v>0</v>
      </c>
      <c r="AH59" s="880">
        <f t="shared" si="45"/>
        <v>1</v>
      </c>
      <c r="AI59" s="257">
        <f t="shared" si="46"/>
        <v>8530</v>
      </c>
    </row>
    <row r="60" spans="1:35" ht="30" x14ac:dyDescent="0.2">
      <c r="A60" s="484" t="s">
        <v>594</v>
      </c>
      <c r="B60" s="504">
        <v>83356</v>
      </c>
      <c r="C60" s="504"/>
      <c r="D60" s="517" t="s">
        <v>545</v>
      </c>
      <c r="E60" s="518" t="s">
        <v>239</v>
      </c>
      <c r="F60" s="519">
        <f>'Mem. Calc.'!E28</f>
        <v>18540.560000000001</v>
      </c>
      <c r="G60" s="487">
        <f t="shared" si="32"/>
        <v>1.1399999999999999</v>
      </c>
      <c r="H60" s="519">
        <v>21157.86</v>
      </c>
      <c r="I60" s="1403"/>
      <c r="J60" s="872"/>
      <c r="K60" s="873">
        <f t="shared" si="33"/>
        <v>0</v>
      </c>
      <c r="L60" s="874"/>
      <c r="M60" s="875">
        <f t="shared" si="34"/>
        <v>0</v>
      </c>
      <c r="N60" s="874"/>
      <c r="O60" s="875">
        <f t="shared" si="35"/>
        <v>0</v>
      </c>
      <c r="P60" s="874"/>
      <c r="Q60" s="875">
        <f t="shared" si="36"/>
        <v>0</v>
      </c>
      <c r="R60" s="874">
        <f t="shared" si="47"/>
        <v>0.3</v>
      </c>
      <c r="S60" s="898">
        <f t="shared" si="37"/>
        <v>5562</v>
      </c>
      <c r="T60" s="882">
        <f t="shared" si="48"/>
        <v>0.2</v>
      </c>
      <c r="U60" s="898">
        <f t="shared" si="38"/>
        <v>3708</v>
      </c>
      <c r="V60" s="882">
        <f t="shared" si="49"/>
        <v>0.2</v>
      </c>
      <c r="W60" s="898">
        <f t="shared" si="39"/>
        <v>3708</v>
      </c>
      <c r="X60" s="882">
        <f t="shared" si="50"/>
        <v>0.2</v>
      </c>
      <c r="Y60" s="898">
        <f t="shared" si="40"/>
        <v>3708</v>
      </c>
      <c r="Z60" s="882">
        <f t="shared" si="51"/>
        <v>0.1</v>
      </c>
      <c r="AA60" s="898">
        <f t="shared" si="41"/>
        <v>1854</v>
      </c>
      <c r="AB60" s="882"/>
      <c r="AC60" s="875">
        <f t="shared" si="42"/>
        <v>0</v>
      </c>
      <c r="AD60" s="882"/>
      <c r="AE60" s="875">
        <f t="shared" si="43"/>
        <v>0</v>
      </c>
      <c r="AF60" s="882"/>
      <c r="AG60" s="875">
        <f t="shared" si="44"/>
        <v>0</v>
      </c>
      <c r="AH60" s="880">
        <f t="shared" si="45"/>
        <v>1</v>
      </c>
      <c r="AI60" s="257">
        <f t="shared" si="46"/>
        <v>18540</v>
      </c>
    </row>
    <row r="61" spans="1:35" x14ac:dyDescent="0.2">
      <c r="A61" s="490"/>
      <c r="B61" s="498"/>
      <c r="C61" s="498"/>
      <c r="D61" s="499" t="s">
        <v>7</v>
      </c>
      <c r="E61" s="498"/>
      <c r="F61" s="500"/>
      <c r="G61" s="494"/>
      <c r="H61" s="500">
        <f>SUM(H48:H60)</f>
        <v>357225.19</v>
      </c>
      <c r="I61" s="1403"/>
      <c r="J61" s="874"/>
      <c r="K61" s="876"/>
      <c r="L61" s="874"/>
      <c r="M61" s="408"/>
      <c r="N61" s="874"/>
      <c r="O61" s="408"/>
      <c r="P61" s="874"/>
      <c r="Q61" s="408"/>
      <c r="R61" s="874"/>
      <c r="S61" s="898"/>
      <c r="T61" s="882"/>
      <c r="U61" s="898"/>
      <c r="V61" s="882"/>
      <c r="W61" s="898"/>
      <c r="X61" s="882"/>
      <c r="Y61" s="898"/>
      <c r="Z61" s="882"/>
      <c r="AA61" s="898"/>
      <c r="AB61" s="882"/>
      <c r="AC61" s="408"/>
      <c r="AD61" s="882"/>
      <c r="AE61" s="408"/>
      <c r="AF61" s="882"/>
      <c r="AG61" s="408"/>
    </row>
    <row r="62" spans="1:35" x14ac:dyDescent="0.2">
      <c r="A62" s="490" t="s">
        <v>163</v>
      </c>
      <c r="B62" s="491"/>
      <c r="C62" s="491"/>
      <c r="D62" s="856" t="s">
        <v>387</v>
      </c>
      <c r="E62" s="498"/>
      <c r="F62" s="499"/>
      <c r="G62" s="494"/>
      <c r="H62" s="514"/>
      <c r="I62" s="1403"/>
      <c r="J62" s="874"/>
      <c r="K62" s="876"/>
      <c r="L62" s="874"/>
      <c r="M62" s="408"/>
      <c r="N62" s="874"/>
      <c r="O62" s="408"/>
      <c r="P62" s="874"/>
      <c r="Q62" s="408"/>
      <c r="R62" s="874"/>
      <c r="S62" s="898"/>
      <c r="T62" s="874"/>
      <c r="U62" s="898"/>
      <c r="V62" s="874"/>
      <c r="W62" s="898"/>
      <c r="X62" s="874"/>
      <c r="Y62" s="898"/>
      <c r="Z62" s="874"/>
      <c r="AA62" s="898"/>
      <c r="AB62" s="874"/>
      <c r="AC62" s="408"/>
      <c r="AD62" s="874"/>
      <c r="AE62" s="408"/>
      <c r="AF62" s="874"/>
      <c r="AG62" s="408"/>
    </row>
    <row r="63" spans="1:35" ht="60" x14ac:dyDescent="0.2">
      <c r="A63" s="484" t="s">
        <v>499</v>
      </c>
      <c r="B63" s="489">
        <v>94267</v>
      </c>
      <c r="C63" s="489"/>
      <c r="D63" s="507" t="s">
        <v>418</v>
      </c>
      <c r="E63" s="489" t="s">
        <v>5</v>
      </c>
      <c r="F63" s="501">
        <f>'Mem. Calc.'!E30</f>
        <v>1807.11</v>
      </c>
      <c r="G63" s="487">
        <f>H63/F63</f>
        <v>61.44</v>
      </c>
      <c r="H63" s="501">
        <v>111037.56</v>
      </c>
      <c r="I63" s="1403"/>
      <c r="J63" s="872"/>
      <c r="K63" s="873">
        <f>F63*J63</f>
        <v>0</v>
      </c>
      <c r="L63" s="874"/>
      <c r="M63" s="875">
        <f>F63*L63</f>
        <v>0</v>
      </c>
      <c r="N63" s="874"/>
      <c r="O63" s="875">
        <f>N63*F63</f>
        <v>0</v>
      </c>
      <c r="P63" s="874"/>
      <c r="Q63" s="875">
        <f>P63*F63</f>
        <v>0</v>
      </c>
      <c r="R63" s="874"/>
      <c r="S63" s="898">
        <f>R63*F63</f>
        <v>0</v>
      </c>
      <c r="T63" s="882"/>
      <c r="U63" s="898">
        <f>T63*F63</f>
        <v>0</v>
      </c>
      <c r="V63" s="882">
        <v>0.3</v>
      </c>
      <c r="W63" s="898">
        <f>V63*F63</f>
        <v>542</v>
      </c>
      <c r="X63" s="882">
        <v>0.2</v>
      </c>
      <c r="Y63" s="898">
        <f>X63*F63</f>
        <v>361</v>
      </c>
      <c r="Z63" s="882">
        <v>0.2</v>
      </c>
      <c r="AA63" s="898">
        <f>Z63*F63</f>
        <v>361</v>
      </c>
      <c r="AB63" s="882">
        <v>0.2</v>
      </c>
      <c r="AC63" s="875">
        <f>AB63*F63</f>
        <v>361.42</v>
      </c>
      <c r="AD63" s="882">
        <v>0.1</v>
      </c>
      <c r="AE63" s="875">
        <f>AD63*F63</f>
        <v>180.71</v>
      </c>
      <c r="AF63" s="882"/>
      <c r="AG63" s="875">
        <f>AF63*F63</f>
        <v>0</v>
      </c>
      <c r="AH63" s="880">
        <f t="shared" ref="AH63:AI66" si="52">AF63+AD63+AB63+Z63+X63+V63+T63+R63+P63+N63+L63+J63</f>
        <v>1</v>
      </c>
      <c r="AI63" s="257">
        <f t="shared" si="52"/>
        <v>1806.13</v>
      </c>
    </row>
    <row r="64" spans="1:35" ht="45" x14ac:dyDescent="0.2">
      <c r="A64" s="484" t="s">
        <v>500</v>
      </c>
      <c r="B64" s="489">
        <v>94265</v>
      </c>
      <c r="C64" s="489"/>
      <c r="D64" s="507" t="s">
        <v>559</v>
      </c>
      <c r="E64" s="489" t="s">
        <v>5</v>
      </c>
      <c r="F64" s="501">
        <f>'Mem. Calc.'!E31</f>
        <v>134.94</v>
      </c>
      <c r="G64" s="487">
        <f>H64/F64</f>
        <v>42.56</v>
      </c>
      <c r="H64" s="501">
        <v>5743.15</v>
      </c>
      <c r="I64" s="1403"/>
      <c r="J64" s="872"/>
      <c r="K64" s="873">
        <f>F64*J64</f>
        <v>0</v>
      </c>
      <c r="L64" s="874"/>
      <c r="M64" s="875">
        <f>F64*L64</f>
        <v>0</v>
      </c>
      <c r="N64" s="874"/>
      <c r="O64" s="875">
        <f>N64*F64</f>
        <v>0</v>
      </c>
      <c r="P64" s="874"/>
      <c r="Q64" s="875">
        <f>P64*F64</f>
        <v>0</v>
      </c>
      <c r="R64" s="874"/>
      <c r="S64" s="898">
        <f>R64*F64</f>
        <v>0</v>
      </c>
      <c r="T64" s="882"/>
      <c r="U64" s="898">
        <f>T64*F64</f>
        <v>0</v>
      </c>
      <c r="V64" s="882">
        <f>V63</f>
        <v>0.3</v>
      </c>
      <c r="W64" s="898">
        <f>V64*F64</f>
        <v>40</v>
      </c>
      <c r="X64" s="882">
        <v>0.2</v>
      </c>
      <c r="Y64" s="898">
        <f>X64*F64</f>
        <v>27</v>
      </c>
      <c r="Z64" s="882">
        <f>Z63</f>
        <v>0.2</v>
      </c>
      <c r="AA64" s="898">
        <f>Z64*F64</f>
        <v>27</v>
      </c>
      <c r="AB64" s="882">
        <f>AB63</f>
        <v>0.2</v>
      </c>
      <c r="AC64" s="875">
        <f>AB64*F64</f>
        <v>26.99</v>
      </c>
      <c r="AD64" s="882">
        <f>AD63</f>
        <v>0.1</v>
      </c>
      <c r="AE64" s="875">
        <f>AD64*F64</f>
        <v>13.49</v>
      </c>
      <c r="AF64" s="882"/>
      <c r="AG64" s="875">
        <f>AF64*F64</f>
        <v>0</v>
      </c>
      <c r="AH64" s="880">
        <f t="shared" si="52"/>
        <v>1</v>
      </c>
      <c r="AI64" s="257">
        <f t="shared" si="52"/>
        <v>134.47999999999999</v>
      </c>
    </row>
    <row r="65" spans="1:35" ht="30" x14ac:dyDescent="0.2">
      <c r="A65" s="484" t="s">
        <v>501</v>
      </c>
      <c r="B65" s="489">
        <v>94098</v>
      </c>
      <c r="C65" s="489"/>
      <c r="D65" s="507" t="s">
        <v>419</v>
      </c>
      <c r="E65" s="489" t="s">
        <v>6</v>
      </c>
      <c r="F65" s="501">
        <v>4207.0200000000004</v>
      </c>
      <c r="G65" s="487">
        <f>H65/F65</f>
        <v>6.05</v>
      </c>
      <c r="H65" s="501">
        <v>25447.84</v>
      </c>
      <c r="I65" s="1403"/>
      <c r="J65" s="872"/>
      <c r="K65" s="873">
        <f>F65*J65</f>
        <v>0</v>
      </c>
      <c r="L65" s="874"/>
      <c r="M65" s="875">
        <f>F65*L65</f>
        <v>0</v>
      </c>
      <c r="N65" s="874"/>
      <c r="O65" s="875">
        <f>N65*F65</f>
        <v>0</v>
      </c>
      <c r="P65" s="874"/>
      <c r="Q65" s="875">
        <f>P65*F65</f>
        <v>0</v>
      </c>
      <c r="R65" s="874"/>
      <c r="S65" s="898">
        <f>R65*F65</f>
        <v>0</v>
      </c>
      <c r="T65" s="882"/>
      <c r="U65" s="898">
        <f>T65*F65</f>
        <v>0</v>
      </c>
      <c r="V65" s="882">
        <f>V64</f>
        <v>0.3</v>
      </c>
      <c r="W65" s="898">
        <f>V65*F65</f>
        <v>1262</v>
      </c>
      <c r="X65" s="882">
        <v>0.2</v>
      </c>
      <c r="Y65" s="898">
        <f>X65*F65</f>
        <v>841</v>
      </c>
      <c r="Z65" s="882">
        <f>Z64</f>
        <v>0.2</v>
      </c>
      <c r="AA65" s="898">
        <f>Z65*F65</f>
        <v>841</v>
      </c>
      <c r="AB65" s="882">
        <f>AB64</f>
        <v>0.2</v>
      </c>
      <c r="AC65" s="875">
        <f>AB65*F65</f>
        <v>841.4</v>
      </c>
      <c r="AD65" s="882">
        <f>AD64</f>
        <v>0.1</v>
      </c>
      <c r="AE65" s="875">
        <f>AD65*F65</f>
        <v>420.7</v>
      </c>
      <c r="AF65" s="882"/>
      <c r="AG65" s="875">
        <f>AF65*F65</f>
        <v>0</v>
      </c>
      <c r="AH65" s="880">
        <f t="shared" si="52"/>
        <v>1</v>
      </c>
      <c r="AI65" s="257">
        <f t="shared" si="52"/>
        <v>4206.1000000000004</v>
      </c>
    </row>
    <row r="66" spans="1:35" ht="45" x14ac:dyDescent="0.2">
      <c r="A66" s="484" t="s">
        <v>563</v>
      </c>
      <c r="B66" s="489">
        <v>94990</v>
      </c>
      <c r="C66" s="489"/>
      <c r="D66" s="507" t="s">
        <v>422</v>
      </c>
      <c r="E66" s="489" t="s">
        <v>31</v>
      </c>
      <c r="F66" s="501">
        <v>294.47000000000003</v>
      </c>
      <c r="G66" s="487">
        <f>H66/F66</f>
        <v>632.45000000000005</v>
      </c>
      <c r="H66" s="501">
        <v>186238.02</v>
      </c>
      <c r="I66" s="1403"/>
      <c r="J66" s="872"/>
      <c r="K66" s="873">
        <f>F66*J66</f>
        <v>0</v>
      </c>
      <c r="L66" s="874"/>
      <c r="M66" s="875">
        <f>F66*L66</f>
        <v>0</v>
      </c>
      <c r="N66" s="874"/>
      <c r="O66" s="875">
        <f>N66*F66</f>
        <v>0</v>
      </c>
      <c r="P66" s="874"/>
      <c r="Q66" s="875">
        <f>P66*F66</f>
        <v>0</v>
      </c>
      <c r="R66" s="874"/>
      <c r="S66" s="898">
        <f>R66*F66</f>
        <v>0</v>
      </c>
      <c r="T66" s="882"/>
      <c r="U66" s="898">
        <f>T66*F66</f>
        <v>0</v>
      </c>
      <c r="V66" s="882">
        <f>V65</f>
        <v>0.3</v>
      </c>
      <c r="W66" s="898">
        <f>V66*F66</f>
        <v>88</v>
      </c>
      <c r="X66" s="882">
        <v>0.2</v>
      </c>
      <c r="Y66" s="898">
        <f>X66*F66</f>
        <v>59</v>
      </c>
      <c r="Z66" s="882">
        <f>Z65</f>
        <v>0.2</v>
      </c>
      <c r="AA66" s="898">
        <f>Z66*F66</f>
        <v>59</v>
      </c>
      <c r="AB66" s="882">
        <f>AB65</f>
        <v>0.2</v>
      </c>
      <c r="AC66" s="875">
        <f>AB66*F66</f>
        <v>58.89</v>
      </c>
      <c r="AD66" s="882">
        <f>AD65</f>
        <v>0.1</v>
      </c>
      <c r="AE66" s="875">
        <f>AD66*F66</f>
        <v>29.45</v>
      </c>
      <c r="AF66" s="882"/>
      <c r="AG66" s="875">
        <f>AF66*F66</f>
        <v>0</v>
      </c>
      <c r="AH66" s="880">
        <f t="shared" si="52"/>
        <v>1</v>
      </c>
      <c r="AI66" s="257">
        <f t="shared" si="52"/>
        <v>294.33999999999997</v>
      </c>
    </row>
    <row r="67" spans="1:35" x14ac:dyDescent="0.2">
      <c r="A67" s="520"/>
      <c r="B67" s="491"/>
      <c r="C67" s="491"/>
      <c r="D67" s="499" t="s">
        <v>7</v>
      </c>
      <c r="E67" s="498"/>
      <c r="F67" s="500"/>
      <c r="G67" s="494"/>
      <c r="H67" s="500">
        <f>+SUM(H63:H66)</f>
        <v>328466.57</v>
      </c>
      <c r="I67" s="1403"/>
      <c r="J67" s="874"/>
      <c r="K67" s="876"/>
      <c r="L67" s="874"/>
      <c r="M67" s="408"/>
      <c r="N67" s="874"/>
      <c r="O67" s="876"/>
      <c r="P67" s="874"/>
      <c r="Q67" s="408"/>
      <c r="R67" s="874"/>
      <c r="S67" s="898"/>
      <c r="T67" s="882"/>
      <c r="U67" s="898"/>
      <c r="V67" s="882"/>
      <c r="W67" s="898"/>
      <c r="X67" s="882"/>
      <c r="Y67" s="898"/>
      <c r="Z67" s="882"/>
      <c r="AA67" s="898"/>
      <c r="AB67" s="882"/>
      <c r="AC67" s="408"/>
      <c r="AD67" s="882"/>
      <c r="AE67" s="408"/>
      <c r="AF67" s="882"/>
      <c r="AG67" s="408"/>
    </row>
    <row r="68" spans="1:35" x14ac:dyDescent="0.2">
      <c r="A68" s="490" t="s">
        <v>164</v>
      </c>
      <c r="B68" s="491"/>
      <c r="C68" s="491"/>
      <c r="D68" s="513" t="s">
        <v>135</v>
      </c>
      <c r="E68" s="513"/>
      <c r="F68" s="513"/>
      <c r="G68" s="494"/>
      <c r="H68" s="514"/>
      <c r="I68" s="1403"/>
      <c r="J68" s="874"/>
      <c r="K68" s="876"/>
      <c r="L68" s="874"/>
      <c r="M68" s="408"/>
      <c r="N68" s="874"/>
      <c r="O68" s="876"/>
      <c r="P68" s="874"/>
      <c r="Q68" s="408"/>
      <c r="R68" s="874"/>
      <c r="S68" s="898"/>
      <c r="T68" s="882"/>
      <c r="U68" s="898"/>
      <c r="V68" s="882"/>
      <c r="W68" s="898"/>
      <c r="X68" s="882"/>
      <c r="Y68" s="898"/>
      <c r="Z68" s="882"/>
      <c r="AA68" s="898"/>
      <c r="AB68" s="882"/>
      <c r="AC68" s="408"/>
      <c r="AD68" s="882"/>
      <c r="AE68" s="408"/>
      <c r="AF68" s="882"/>
      <c r="AG68" s="408"/>
    </row>
    <row r="69" spans="1:35" ht="30" x14ac:dyDescent="0.2">
      <c r="A69" s="503" t="s">
        <v>502</v>
      </c>
      <c r="B69" s="1376" t="str">
        <f>COMPOSIÇÕES!A54</f>
        <v>COMPOSIÇÃO 05</v>
      </c>
      <c r="C69" s="1377"/>
      <c r="D69" s="505" t="str">
        <f>COMPOSIÇÕES!B54</f>
        <v>CONFECÇÃO DE SUPORTE E TRAVESSA PARA PLACA DE SINALIZAÇÃO</v>
      </c>
      <c r="E69" s="504" t="str">
        <f>COMPOSIÇÕES!F54</f>
        <v>UND</v>
      </c>
      <c r="F69" s="526">
        <f>'Mem. Calc.'!E36</f>
        <v>28</v>
      </c>
      <c r="G69" s="487">
        <f>H69/F69</f>
        <v>161.63999999999999</v>
      </c>
      <c r="H69" s="506">
        <v>4526.04</v>
      </c>
      <c r="I69" s="1403"/>
      <c r="J69" s="872"/>
      <c r="K69" s="873">
        <f>F69*J69</f>
        <v>0</v>
      </c>
      <c r="L69" s="874"/>
      <c r="M69" s="875">
        <f>F69*L69</f>
        <v>0</v>
      </c>
      <c r="N69" s="874"/>
      <c r="O69" s="875">
        <f>N69*F69</f>
        <v>0</v>
      </c>
      <c r="P69" s="874"/>
      <c r="Q69" s="875">
        <f>P69*F69</f>
        <v>0</v>
      </c>
      <c r="R69" s="874"/>
      <c r="S69" s="898">
        <f>R69*F69</f>
        <v>0</v>
      </c>
      <c r="T69" s="882"/>
      <c r="U69" s="898">
        <f>T69*F69</f>
        <v>0</v>
      </c>
      <c r="V69" s="882"/>
      <c r="W69" s="898">
        <f>V69*F69</f>
        <v>0</v>
      </c>
      <c r="X69" s="882"/>
      <c r="Y69" s="898">
        <f>X69*F69</f>
        <v>0</v>
      </c>
      <c r="Z69" s="882"/>
      <c r="AA69" s="898">
        <f>Z69*F69</f>
        <v>0</v>
      </c>
      <c r="AB69" s="882"/>
      <c r="AC69" s="875">
        <f>AB69*F69</f>
        <v>0</v>
      </c>
      <c r="AD69" s="882">
        <v>0.2</v>
      </c>
      <c r="AE69" s="875">
        <f>AD69*F69</f>
        <v>5.6</v>
      </c>
      <c r="AF69" s="882">
        <v>0.8</v>
      </c>
      <c r="AG69" s="875">
        <f>AF69*F69</f>
        <v>22.4</v>
      </c>
      <c r="AH69" s="880">
        <f t="shared" ref="AH69:AI73" si="53">AF69+AD69+AB69+Z69+X69+V69+T69+R69+P69+N69+L69+J69</f>
        <v>1</v>
      </c>
      <c r="AI69" s="257">
        <f t="shared" si="53"/>
        <v>28</v>
      </c>
    </row>
    <row r="70" spans="1:35" ht="30" x14ac:dyDescent="0.2">
      <c r="A70" s="503" t="s">
        <v>247</v>
      </c>
      <c r="B70" s="1376" t="str">
        <f>COMPOSIÇÕES!A68</f>
        <v>COMPOSIÇÃO 06</v>
      </c>
      <c r="C70" s="1377"/>
      <c r="D70" s="505" t="str">
        <f>COMPOSIÇÕES!B68</f>
        <v>PLACA DE SINALIZACAO EM CHAPA DE ACO NUM 16 COM PINTURA REFLETIVA - FORNECIMENTO E INSTALAÇÃO</v>
      </c>
      <c r="E70" s="504" t="str">
        <f>COMPOSIÇÕES!F68</f>
        <v>M2</v>
      </c>
      <c r="F70" s="526">
        <f>'Mem. Calc.'!E37</f>
        <v>3.63</v>
      </c>
      <c r="G70" s="487">
        <f>H70/F70</f>
        <v>2436.6</v>
      </c>
      <c r="H70" s="506">
        <v>8844.8700000000008</v>
      </c>
      <c r="I70" s="1403"/>
      <c r="J70" s="872"/>
      <c r="K70" s="873">
        <f>F70*J70</f>
        <v>0</v>
      </c>
      <c r="L70" s="874"/>
      <c r="M70" s="875">
        <f>F70*L70</f>
        <v>0</v>
      </c>
      <c r="N70" s="874"/>
      <c r="O70" s="875">
        <f>N70*F70</f>
        <v>0</v>
      </c>
      <c r="P70" s="874"/>
      <c r="Q70" s="875">
        <f>P70*F70</f>
        <v>0</v>
      </c>
      <c r="R70" s="874"/>
      <c r="S70" s="898">
        <f>R70*F70</f>
        <v>0</v>
      </c>
      <c r="T70" s="882"/>
      <c r="U70" s="898">
        <f>T70*F70</f>
        <v>0</v>
      </c>
      <c r="V70" s="882"/>
      <c r="W70" s="898">
        <f>V70*F70</f>
        <v>0</v>
      </c>
      <c r="X70" s="882"/>
      <c r="Y70" s="898">
        <f>X70*F70</f>
        <v>0</v>
      </c>
      <c r="Z70" s="882"/>
      <c r="AA70" s="898">
        <f>Z70*F70</f>
        <v>0</v>
      </c>
      <c r="AB70" s="882"/>
      <c r="AC70" s="875">
        <f>AB70*F70</f>
        <v>0</v>
      </c>
      <c r="AD70" s="882">
        <f>AD69</f>
        <v>0.2</v>
      </c>
      <c r="AE70" s="875">
        <f>AD70*F70</f>
        <v>0.73</v>
      </c>
      <c r="AF70" s="882">
        <f>AF69</f>
        <v>0.8</v>
      </c>
      <c r="AG70" s="875">
        <f>AF70*F70</f>
        <v>2.9</v>
      </c>
      <c r="AH70" s="880">
        <f t="shared" si="53"/>
        <v>1</v>
      </c>
      <c r="AI70" s="257">
        <f t="shared" si="53"/>
        <v>3.63</v>
      </c>
    </row>
    <row r="71" spans="1:35" ht="30" x14ac:dyDescent="0.2">
      <c r="A71" s="503" t="s">
        <v>503</v>
      </c>
      <c r="B71" s="489" t="s">
        <v>547</v>
      </c>
      <c r="C71" s="489"/>
      <c r="D71" s="505" t="s">
        <v>548</v>
      </c>
      <c r="E71" s="504" t="s">
        <v>49</v>
      </c>
      <c r="F71" s="526">
        <f>'Mem. Calc.'!E38</f>
        <v>13</v>
      </c>
      <c r="G71" s="487">
        <f>H71/F71</f>
        <v>296.11</v>
      </c>
      <c r="H71" s="506">
        <v>3849.4</v>
      </c>
      <c r="I71" s="1403"/>
      <c r="J71" s="872"/>
      <c r="K71" s="873">
        <f>F71*J71</f>
        <v>0</v>
      </c>
      <c r="L71" s="874"/>
      <c r="M71" s="875">
        <f>F71*L71</f>
        <v>0</v>
      </c>
      <c r="N71" s="874"/>
      <c r="O71" s="875">
        <f>N71*F71</f>
        <v>0</v>
      </c>
      <c r="P71" s="874"/>
      <c r="Q71" s="875">
        <f>P71*F71</f>
        <v>0</v>
      </c>
      <c r="R71" s="874"/>
      <c r="S71" s="898">
        <f>R71*F71</f>
        <v>0</v>
      </c>
      <c r="T71" s="882"/>
      <c r="U71" s="898">
        <f>T71*F71</f>
        <v>0</v>
      </c>
      <c r="V71" s="882"/>
      <c r="W71" s="898">
        <f>V71*F71</f>
        <v>0</v>
      </c>
      <c r="X71" s="882"/>
      <c r="Y71" s="898">
        <f>X71*F71</f>
        <v>0</v>
      </c>
      <c r="Z71" s="882"/>
      <c r="AA71" s="898">
        <f>Z71*F71</f>
        <v>0</v>
      </c>
      <c r="AB71" s="882"/>
      <c r="AC71" s="875">
        <f>AB71*F71</f>
        <v>0</v>
      </c>
      <c r="AD71" s="882">
        <f>AD70</f>
        <v>0.2</v>
      </c>
      <c r="AE71" s="875">
        <f>AD71*F71</f>
        <v>2.6</v>
      </c>
      <c r="AF71" s="882">
        <f>AF70</f>
        <v>0.8</v>
      </c>
      <c r="AG71" s="875">
        <f>AF71*F71</f>
        <v>10.4</v>
      </c>
      <c r="AH71" s="880">
        <f t="shared" si="53"/>
        <v>1</v>
      </c>
      <c r="AI71" s="257">
        <f t="shared" si="53"/>
        <v>13</v>
      </c>
    </row>
    <row r="72" spans="1:35" ht="30" x14ac:dyDescent="0.2">
      <c r="A72" s="503" t="s">
        <v>275</v>
      </c>
      <c r="B72" s="489">
        <v>72947</v>
      </c>
      <c r="C72" s="489"/>
      <c r="D72" s="505" t="s">
        <v>546</v>
      </c>
      <c r="E72" s="504" t="s">
        <v>538</v>
      </c>
      <c r="F72" s="526">
        <f>'Mem. Calc.'!E39</f>
        <v>471.85</v>
      </c>
      <c r="G72" s="487">
        <f>H72/F72</f>
        <v>55.91</v>
      </c>
      <c r="H72" s="506">
        <v>26382.45</v>
      </c>
      <c r="I72" s="1403"/>
      <c r="J72" s="872"/>
      <c r="K72" s="873">
        <f>F72*J72</f>
        <v>0</v>
      </c>
      <c r="L72" s="874"/>
      <c r="M72" s="875">
        <f>F72*L72</f>
        <v>0</v>
      </c>
      <c r="N72" s="874"/>
      <c r="O72" s="875">
        <f>N72*F72</f>
        <v>0</v>
      </c>
      <c r="P72" s="874"/>
      <c r="Q72" s="875">
        <f>P72*F72</f>
        <v>0</v>
      </c>
      <c r="R72" s="874"/>
      <c r="S72" s="898">
        <f>R72*F72</f>
        <v>0</v>
      </c>
      <c r="T72" s="882"/>
      <c r="U72" s="898">
        <f>T72*F72</f>
        <v>0</v>
      </c>
      <c r="V72" s="882"/>
      <c r="W72" s="898">
        <f>V72*F72</f>
        <v>0</v>
      </c>
      <c r="X72" s="882"/>
      <c r="Y72" s="898">
        <f>X72*F72</f>
        <v>0</v>
      </c>
      <c r="Z72" s="882"/>
      <c r="AA72" s="898">
        <f>Z72*F72</f>
        <v>0</v>
      </c>
      <c r="AB72" s="882"/>
      <c r="AC72" s="875">
        <f>AB72*F72</f>
        <v>0</v>
      </c>
      <c r="AD72" s="882">
        <f>AD71</f>
        <v>0.2</v>
      </c>
      <c r="AE72" s="875">
        <f>AD72*F72</f>
        <v>94.37</v>
      </c>
      <c r="AF72" s="882">
        <f>AF71</f>
        <v>0.8</v>
      </c>
      <c r="AG72" s="875">
        <f>AF72*F72</f>
        <v>377.48</v>
      </c>
      <c r="AH72" s="880">
        <f t="shared" si="53"/>
        <v>1</v>
      </c>
      <c r="AI72" s="257">
        <f t="shared" si="53"/>
        <v>471.85</v>
      </c>
    </row>
    <row r="73" spans="1:35" ht="45" x14ac:dyDescent="0.2">
      <c r="A73" s="503" t="s">
        <v>276</v>
      </c>
      <c r="B73" s="1376" t="str">
        <f>COMPOSIÇÕES!A80</f>
        <v>COMPOSIÇÃO 07</v>
      </c>
      <c r="C73" s="1377"/>
      <c r="D73" s="505" t="str">
        <f>COMPOSIÇÕES!B80</f>
        <v>PISO TÁTIL DIRECIONAL E/OU ALERTA, DE CONCRETO, NA COR NATURAL, P/DEFICIENTES VISUAIS, DIMENSÕES 25X25CM, APLICADO COM ARGAMASSA AC-II</v>
      </c>
      <c r="E73" s="504" t="str">
        <f>COMPOSIÇÕES!F80</f>
        <v>UND</v>
      </c>
      <c r="F73" s="526">
        <f>'Mem. Calc.'!E34</f>
        <v>7768</v>
      </c>
      <c r="G73" s="487">
        <f>H73/F73</f>
        <v>14.49</v>
      </c>
      <c r="H73" s="506">
        <v>112532.12</v>
      </c>
      <c r="I73" s="1403"/>
      <c r="J73" s="872"/>
      <c r="K73" s="873">
        <f>F73*J73</f>
        <v>0</v>
      </c>
      <c r="L73" s="874"/>
      <c r="M73" s="875">
        <f>F73*L73</f>
        <v>0</v>
      </c>
      <c r="N73" s="874"/>
      <c r="O73" s="875">
        <f>N73*F73</f>
        <v>0</v>
      </c>
      <c r="P73" s="874"/>
      <c r="Q73" s="875">
        <f>P73*F73</f>
        <v>0</v>
      </c>
      <c r="R73" s="874"/>
      <c r="S73" s="898">
        <f>R73*F73</f>
        <v>0</v>
      </c>
      <c r="T73" s="882"/>
      <c r="U73" s="898">
        <f>T73*F73</f>
        <v>0</v>
      </c>
      <c r="V73" s="882"/>
      <c r="W73" s="898">
        <f>V73*F73</f>
        <v>0</v>
      </c>
      <c r="X73" s="882"/>
      <c r="Y73" s="898">
        <f>X73*F73</f>
        <v>0</v>
      </c>
      <c r="Z73" s="882"/>
      <c r="AA73" s="898">
        <f>Z73*F73</f>
        <v>0</v>
      </c>
      <c r="AB73" s="882"/>
      <c r="AC73" s="875">
        <f>AB73*F73</f>
        <v>0</v>
      </c>
      <c r="AD73" s="882">
        <f>AD72</f>
        <v>0.2</v>
      </c>
      <c r="AE73" s="875">
        <f>AD73*F73</f>
        <v>1553.6</v>
      </c>
      <c r="AF73" s="882">
        <f>AF72</f>
        <v>0.8</v>
      </c>
      <c r="AG73" s="875">
        <f>AF73*F73</f>
        <v>6214.4</v>
      </c>
      <c r="AH73" s="880">
        <f t="shared" si="53"/>
        <v>1</v>
      </c>
      <c r="AI73" s="257">
        <f t="shared" si="53"/>
        <v>7768</v>
      </c>
    </row>
    <row r="74" spans="1:35" x14ac:dyDescent="0.2">
      <c r="A74" s="490"/>
      <c r="B74" s="491"/>
      <c r="C74" s="491"/>
      <c r="D74" s="499" t="s">
        <v>7</v>
      </c>
      <c r="E74" s="498"/>
      <c r="F74" s="500"/>
      <c r="G74" s="494"/>
      <c r="H74" s="500">
        <f>SUM(H69:H73)</f>
        <v>156134.88</v>
      </c>
      <c r="I74" s="1404"/>
      <c r="J74" s="874"/>
      <c r="K74" s="876"/>
      <c r="L74" s="874"/>
      <c r="M74" s="408"/>
      <c r="N74" s="874"/>
      <c r="O74" s="408"/>
      <c r="P74" s="874"/>
      <c r="Q74" s="408"/>
      <c r="R74" s="874"/>
      <c r="S74" s="898"/>
      <c r="T74" s="882"/>
      <c r="U74" s="898"/>
      <c r="V74" s="882"/>
      <c r="W74" s="898"/>
      <c r="X74" s="882"/>
      <c r="Y74" s="898"/>
      <c r="Z74" s="882"/>
      <c r="AA74" s="898"/>
      <c r="AB74" s="882"/>
      <c r="AC74" s="408"/>
      <c r="AD74" s="882"/>
      <c r="AE74" s="408"/>
      <c r="AF74" s="882"/>
      <c r="AG74" s="408"/>
    </row>
    <row r="75" spans="1:35" ht="38.25" customHeight="1" thickBot="1" x14ac:dyDescent="0.25">
      <c r="A75" s="1374" t="s">
        <v>148</v>
      </c>
      <c r="B75" s="1375"/>
      <c r="C75" s="1375"/>
      <c r="D75" s="1375"/>
      <c r="E75" s="1375"/>
      <c r="F75" s="1375"/>
      <c r="G75" s="1375"/>
      <c r="H75" s="527">
        <f>SUM(H10:H74)/2</f>
        <v>1402034.69</v>
      </c>
      <c r="I75" s="871">
        <f>I43+I15+I10+I18</f>
        <v>1</v>
      </c>
      <c r="J75" s="874"/>
      <c r="K75" s="876"/>
      <c r="L75" s="874"/>
      <c r="M75" s="875"/>
      <c r="N75" s="874"/>
      <c r="O75" s="876"/>
      <c r="P75" s="874"/>
      <c r="Q75" s="408"/>
      <c r="R75" s="874"/>
      <c r="S75" s="898"/>
      <c r="T75" s="882"/>
      <c r="U75" s="898"/>
      <c r="V75" s="882"/>
      <c r="W75" s="898"/>
      <c r="X75" s="882"/>
      <c r="Y75" s="898"/>
      <c r="Z75" s="882"/>
      <c r="AA75" s="898"/>
      <c r="AB75" s="882"/>
      <c r="AC75" s="408"/>
      <c r="AD75" s="882"/>
      <c r="AE75" s="408"/>
      <c r="AF75" s="882"/>
      <c r="AG75" s="408"/>
    </row>
    <row r="77" spans="1:35" x14ac:dyDescent="0.2">
      <c r="B77" s="259" t="str">
        <f>Terrap.!B20</f>
        <v xml:space="preserve">Vinicius Ferreira Fava </v>
      </c>
    </row>
    <row r="78" spans="1:35" x14ac:dyDescent="0.2">
      <c r="A78" s="244"/>
      <c r="B78" s="258" t="str">
        <f>Terrap.!B21</f>
        <v>ENGº CIVIL</v>
      </c>
      <c r="C78" s="244"/>
      <c r="L78" s="867"/>
      <c r="M78" s="260"/>
      <c r="O78" s="257"/>
    </row>
    <row r="79" spans="1:35" x14ac:dyDescent="0.2">
      <c r="A79" s="244"/>
      <c r="B79" s="244"/>
      <c r="C79" s="244"/>
      <c r="L79" s="867"/>
      <c r="M79" s="260"/>
      <c r="Q79" s="257"/>
    </row>
    <row r="80" spans="1:35" x14ac:dyDescent="0.2">
      <c r="A80" s="244"/>
      <c r="B80" s="244"/>
      <c r="C80" s="244"/>
      <c r="M80" s="257"/>
    </row>
    <row r="81" spans="1:13" x14ac:dyDescent="0.2">
      <c r="A81" s="244"/>
      <c r="B81" s="244"/>
      <c r="C81" s="244"/>
    </row>
    <row r="82" spans="1:13" x14ac:dyDescent="0.2">
      <c r="A82" s="244"/>
      <c r="B82" s="244"/>
      <c r="C82" s="244"/>
    </row>
    <row r="83" spans="1:13" x14ac:dyDescent="0.2">
      <c r="A83" s="244"/>
      <c r="B83" s="244"/>
      <c r="C83" s="244"/>
      <c r="I83" s="454" t="s">
        <v>384</v>
      </c>
      <c r="L83" s="863">
        <v>1482100</v>
      </c>
      <c r="M83" s="354"/>
    </row>
    <row r="84" spans="1:13" x14ac:dyDescent="0.2">
      <c r="A84" s="244"/>
      <c r="B84" s="244"/>
      <c r="C84" s="244"/>
      <c r="I84" s="454" t="s">
        <v>383</v>
      </c>
      <c r="L84" s="863">
        <v>25000</v>
      </c>
      <c r="M84" s="354"/>
    </row>
    <row r="85" spans="1:13" x14ac:dyDescent="0.2">
      <c r="A85" s="244"/>
      <c r="B85" s="244"/>
      <c r="C85" s="244"/>
      <c r="I85" s="454" t="s">
        <v>339</v>
      </c>
      <c r="L85" s="863">
        <f>SUM(L83:L84)</f>
        <v>1507100</v>
      </c>
      <c r="M85" s="581"/>
    </row>
    <row r="86" spans="1:13" x14ac:dyDescent="0.2">
      <c r="A86" s="244"/>
      <c r="B86" s="244"/>
      <c r="C86" s="244"/>
      <c r="L86" s="863">
        <f>L85-H75</f>
        <v>105065.31</v>
      </c>
      <c r="M86" s="257"/>
    </row>
  </sheetData>
  <mergeCells count="35">
    <mergeCell ref="AF8:AG8"/>
    <mergeCell ref="T8:U8"/>
    <mergeCell ref="V8:W8"/>
    <mergeCell ref="X8:Y8"/>
    <mergeCell ref="Z8:AA8"/>
    <mergeCell ref="AB8:AC8"/>
    <mergeCell ref="AD8:AE8"/>
    <mergeCell ref="A75:G75"/>
    <mergeCell ref="J8:K8"/>
    <mergeCell ref="L8:M8"/>
    <mergeCell ref="N8:O8"/>
    <mergeCell ref="P8:Q8"/>
    <mergeCell ref="R8:S8"/>
    <mergeCell ref="I18:I41"/>
    <mergeCell ref="I43:I74"/>
    <mergeCell ref="B56:C56"/>
    <mergeCell ref="B57:C57"/>
    <mergeCell ref="B58:C58"/>
    <mergeCell ref="B69:C69"/>
    <mergeCell ref="B70:C70"/>
    <mergeCell ref="B73:C73"/>
    <mergeCell ref="L5:P6"/>
    <mergeCell ref="B6:E6"/>
    <mergeCell ref="A7:I7"/>
    <mergeCell ref="I10:I13"/>
    <mergeCell ref="B15:C15"/>
    <mergeCell ref="I15:I16"/>
    <mergeCell ref="A1:C2"/>
    <mergeCell ref="D1:I1"/>
    <mergeCell ref="D2:I2"/>
    <mergeCell ref="B3:E3"/>
    <mergeCell ref="F3:F5"/>
    <mergeCell ref="G3:I5"/>
    <mergeCell ref="B4:E4"/>
    <mergeCell ref="B5:E5"/>
  </mergeCells>
  <pageMargins left="0.19685039370078741" right="0.19685039370078741" top="0.78740157480314965" bottom="0.39370078740157483" header="0.31496062992125984" footer="0.31496062992125984"/>
  <pageSetup paperSize="9" scale="37" fitToHeight="0" orientation="landscape" r:id="rId1"/>
  <headerFooter alignWithMargins="0"/>
  <rowBreaks count="3" manualBreakCount="3">
    <brk id="17" max="25" man="1"/>
    <brk id="25" max="25" man="1"/>
    <brk id="5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1"/>
  <sheetViews>
    <sheetView view="pageBreakPreview" topLeftCell="A70" zoomScale="85" zoomScaleSheetLayoutView="85" workbookViewId="0">
      <selection activeCell="O80" sqref="O80"/>
    </sheetView>
  </sheetViews>
  <sheetFormatPr defaultRowHeight="12.75" x14ac:dyDescent="0.2"/>
  <cols>
    <col min="1" max="1" width="12.5703125" style="108" customWidth="1"/>
    <col min="2" max="2" width="29.85546875" style="108" customWidth="1"/>
    <col min="3" max="3" width="9.42578125" style="108" customWidth="1"/>
    <col min="4" max="4" width="13.5703125" style="108" customWidth="1"/>
    <col min="5" max="5" width="8.85546875" style="108" customWidth="1"/>
    <col min="6" max="6" width="9.140625" style="108" customWidth="1"/>
    <col min="7" max="7" width="11.85546875" style="108" customWidth="1"/>
    <col min="8" max="8" width="9" style="108" customWidth="1"/>
    <col min="9" max="9" width="8.42578125" style="108" customWidth="1"/>
    <col min="10" max="10" width="11.28515625" style="108" customWidth="1"/>
    <col min="11" max="11" width="11.7109375" style="108" customWidth="1"/>
    <col min="12" max="12" width="10.7109375" style="108" customWidth="1"/>
    <col min="13" max="16384" width="9.140625" style="108"/>
  </cols>
  <sheetData>
    <row r="1" spans="1:15" ht="23.25" customHeight="1" x14ac:dyDescent="0.2">
      <c r="A1" s="1010" t="str">
        <f>Terrap.!A1</f>
        <v>ESTADO DE MATO GROSSO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2"/>
    </row>
    <row r="2" spans="1:15" ht="23.25" customHeight="1" x14ac:dyDescent="0.2">
      <c r="A2" s="1013" t="str">
        <f>Terrap.!A2</f>
        <v xml:space="preserve">PREFEITURA MUNICIPAL DE BARRA DO BUGRES 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5"/>
    </row>
    <row r="3" spans="1:15" s="384" customFormat="1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7"/>
    </row>
    <row r="4" spans="1:15" s="384" customFormat="1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16"/>
      <c r="J4" s="1020" t="str">
        <f>Terrap.!I3</f>
        <v>SINAPI - MARÇO / 2020                                                                                                                               ANP - NOV/2019 (desonerado) SICRO OUT/2019</v>
      </c>
      <c r="K4" s="1020"/>
      <c r="L4" s="1021"/>
    </row>
    <row r="5" spans="1:15" s="384" customFormat="1" ht="15.7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1016"/>
      <c r="F5" s="385" t="s">
        <v>370</v>
      </c>
      <c r="G5" s="1018" t="str">
        <f>Terrap.!F5</f>
        <v>maio 2020</v>
      </c>
      <c r="H5" s="1018"/>
      <c r="I5" s="1018"/>
      <c r="J5" s="1020"/>
      <c r="K5" s="1020"/>
      <c r="L5" s="1021"/>
    </row>
    <row r="6" spans="1:15" s="384" customFormat="1" ht="24.75" customHeight="1" thickBot="1" x14ac:dyDescent="0.25">
      <c r="A6" s="386" t="s">
        <v>59</v>
      </c>
      <c r="B6" s="1019">
        <f>Pavim.!B6</f>
        <v>7896.8</v>
      </c>
      <c r="C6" s="1019"/>
      <c r="D6" s="1019"/>
      <c r="E6" s="1019"/>
      <c r="F6" s="387" t="s">
        <v>60</v>
      </c>
      <c r="G6" s="388">
        <f>Terrap.!F6</f>
        <v>0.26740000000000003</v>
      </c>
      <c r="H6" s="388"/>
      <c r="I6" s="387" t="s">
        <v>61</v>
      </c>
      <c r="J6" s="1022"/>
      <c r="K6" s="1022"/>
      <c r="L6" s="1023"/>
    </row>
    <row r="7" spans="1:15" ht="28.5" customHeight="1" thickBot="1" x14ac:dyDescent="0.25">
      <c r="A7" s="1007" t="s">
        <v>299</v>
      </c>
      <c r="B7" s="1008"/>
      <c r="C7" s="1008"/>
      <c r="D7" s="1008"/>
      <c r="E7" s="1008"/>
      <c r="F7" s="1008"/>
      <c r="G7" s="1008"/>
      <c r="H7" s="1008"/>
      <c r="I7" s="1008"/>
      <c r="J7" s="1008"/>
      <c r="K7" s="1008"/>
      <c r="L7" s="1009"/>
    </row>
    <row r="8" spans="1:15" ht="28.5" customHeight="1" x14ac:dyDescent="0.2">
      <c r="A8" s="699" t="s">
        <v>0</v>
      </c>
      <c r="B8" s="700" t="s">
        <v>137</v>
      </c>
      <c r="C8" s="700" t="s">
        <v>2</v>
      </c>
      <c r="D8" s="700" t="s">
        <v>3</v>
      </c>
      <c r="E8" s="700" t="s">
        <v>140</v>
      </c>
      <c r="F8" s="700" t="s">
        <v>139</v>
      </c>
      <c r="G8" s="700" t="s">
        <v>138</v>
      </c>
      <c r="H8" s="700"/>
      <c r="I8" s="700"/>
      <c r="J8" s="701"/>
      <c r="K8" s="702" t="s">
        <v>170</v>
      </c>
      <c r="L8" s="703" t="s">
        <v>13</v>
      </c>
    </row>
    <row r="9" spans="1:15" ht="28.5" customHeight="1" x14ac:dyDescent="0.2">
      <c r="A9" s="672" t="s">
        <v>75</v>
      </c>
      <c r="B9" s="1041" t="s">
        <v>471</v>
      </c>
      <c r="C9" s="1041"/>
      <c r="D9" s="1041"/>
      <c r="E9" s="1041"/>
      <c r="F9" s="1041"/>
      <c r="G9" s="1041"/>
      <c r="H9" s="1041"/>
      <c r="I9" s="1041"/>
      <c r="J9" s="671" t="s">
        <v>31</v>
      </c>
      <c r="K9" s="1042">
        <f>SUM(L10:L22)</f>
        <v>0</v>
      </c>
      <c r="L9" s="1043"/>
      <c r="N9" s="108" t="s">
        <v>468</v>
      </c>
      <c r="O9" s="108" t="s">
        <v>469</v>
      </c>
    </row>
    <row r="10" spans="1:15" ht="15" x14ac:dyDescent="0.2">
      <c r="A10" s="441" t="s">
        <v>23</v>
      </c>
      <c r="B10" s="704" t="s">
        <v>76</v>
      </c>
      <c r="C10" s="705" t="s">
        <v>5</v>
      </c>
      <c r="D10" s="706">
        <f>'Ruas Ben'!C19</f>
        <v>0</v>
      </c>
      <c r="E10" s="706">
        <v>1</v>
      </c>
      <c r="F10" s="707">
        <v>1.5</v>
      </c>
      <c r="G10" s="707"/>
      <c r="H10" s="707"/>
      <c r="I10" s="707"/>
      <c r="J10" s="707"/>
      <c r="K10" s="707"/>
      <c r="L10" s="708">
        <f t="shared" ref="L10:L15" si="0">TRUNC(D10*E10*F10,3)</f>
        <v>0</v>
      </c>
      <c r="N10" s="108">
        <v>1.5</v>
      </c>
    </row>
    <row r="11" spans="1:15" ht="15" x14ac:dyDescent="0.2">
      <c r="A11" s="441" t="s">
        <v>44</v>
      </c>
      <c r="B11" s="704" t="s">
        <v>77</v>
      </c>
      <c r="C11" s="705" t="s">
        <v>5</v>
      </c>
      <c r="D11" s="706">
        <f>'Ruas Ben'!D19</f>
        <v>0</v>
      </c>
      <c r="E11" s="707">
        <v>1.2</v>
      </c>
      <c r="F11" s="707">
        <v>1.5</v>
      </c>
      <c r="G11" s="707"/>
      <c r="H11" s="707"/>
      <c r="I11" s="707"/>
      <c r="J11" s="707"/>
      <c r="K11" s="707"/>
      <c r="L11" s="708">
        <f t="shared" si="0"/>
        <v>0</v>
      </c>
      <c r="N11" s="108">
        <v>1.7</v>
      </c>
    </row>
    <row r="12" spans="1:15" ht="15" x14ac:dyDescent="0.2">
      <c r="A12" s="441" t="s">
        <v>45</v>
      </c>
      <c r="B12" s="709" t="s">
        <v>81</v>
      </c>
      <c r="C12" s="670" t="s">
        <v>5</v>
      </c>
      <c r="D12" s="706">
        <f>'Ruas Ben'!E19</f>
        <v>0</v>
      </c>
      <c r="E12" s="710">
        <v>1.4</v>
      </c>
      <c r="F12" s="707">
        <v>1.5</v>
      </c>
      <c r="G12" s="707"/>
      <c r="H12" s="707"/>
      <c r="I12" s="707"/>
      <c r="J12" s="707"/>
      <c r="K12" s="707"/>
      <c r="L12" s="708">
        <f t="shared" si="0"/>
        <v>0</v>
      </c>
      <c r="N12" s="108">
        <v>1.9</v>
      </c>
    </row>
    <row r="13" spans="1:15" ht="15" x14ac:dyDescent="0.2">
      <c r="A13" s="441" t="s">
        <v>111</v>
      </c>
      <c r="B13" s="709" t="s">
        <v>82</v>
      </c>
      <c r="C13" s="670" t="s">
        <v>5</v>
      </c>
      <c r="D13" s="706">
        <f>'Ruas Ben'!F19</f>
        <v>0</v>
      </c>
      <c r="E13" s="710">
        <v>1.6</v>
      </c>
      <c r="F13" s="707">
        <v>1.5</v>
      </c>
      <c r="G13" s="707"/>
      <c r="H13" s="707"/>
      <c r="I13" s="707"/>
      <c r="J13" s="707"/>
      <c r="K13" s="707"/>
      <c r="L13" s="708">
        <f t="shared" si="0"/>
        <v>0</v>
      </c>
      <c r="N13" s="108">
        <v>2.1</v>
      </c>
    </row>
    <row r="14" spans="1:15" ht="15" x14ac:dyDescent="0.2">
      <c r="A14" s="441" t="s">
        <v>231</v>
      </c>
      <c r="B14" s="704" t="s">
        <v>83</v>
      </c>
      <c r="C14" s="705" t="s">
        <v>5</v>
      </c>
      <c r="D14" s="706">
        <f>'Ruas Ben'!G19</f>
        <v>0</v>
      </c>
      <c r="E14" s="706">
        <v>1.8</v>
      </c>
      <c r="F14" s="707">
        <v>1.5</v>
      </c>
      <c r="G14" s="707"/>
      <c r="H14" s="707"/>
      <c r="I14" s="707"/>
      <c r="J14" s="707"/>
      <c r="K14" s="707"/>
      <c r="L14" s="708">
        <f t="shared" si="0"/>
        <v>0</v>
      </c>
      <c r="N14" s="108">
        <v>2.5</v>
      </c>
    </row>
    <row r="15" spans="1:15" ht="15" x14ac:dyDescent="0.2">
      <c r="A15" s="441" t="s">
        <v>433</v>
      </c>
      <c r="B15" s="711" t="s">
        <v>84</v>
      </c>
      <c r="C15" s="712" t="s">
        <v>5</v>
      </c>
      <c r="D15" s="706">
        <f>'Ruas Ben'!H19</f>
        <v>0</v>
      </c>
      <c r="E15" s="707">
        <v>2.1</v>
      </c>
      <c r="F15" s="707">
        <v>1.5</v>
      </c>
      <c r="G15" s="707"/>
      <c r="H15" s="707"/>
      <c r="I15" s="707"/>
      <c r="J15" s="707"/>
      <c r="K15" s="707"/>
      <c r="L15" s="708">
        <f t="shared" si="0"/>
        <v>0</v>
      </c>
      <c r="N15" s="108">
        <v>2.8</v>
      </c>
    </row>
    <row r="16" spans="1:15" ht="15" x14ac:dyDescent="0.2">
      <c r="A16" s="441" t="s">
        <v>434</v>
      </c>
      <c r="B16" s="711" t="s">
        <v>85</v>
      </c>
      <c r="C16" s="712" t="s">
        <v>79</v>
      </c>
      <c r="D16" s="706">
        <f>'Ruas Ben'!I19</f>
        <v>0</v>
      </c>
      <c r="E16" s="707">
        <v>1.9</v>
      </c>
      <c r="F16" s="707">
        <v>1.5</v>
      </c>
      <c r="G16" s="707">
        <v>1.9</v>
      </c>
      <c r="H16" s="707"/>
      <c r="I16" s="707"/>
      <c r="J16" s="707"/>
      <c r="K16" s="707"/>
      <c r="L16" s="708">
        <f t="shared" ref="L16:L22" si="1">TRUNC(D16*E16*F16*G16,3)</f>
        <v>0</v>
      </c>
      <c r="N16" s="108">
        <v>1.5</v>
      </c>
    </row>
    <row r="17" spans="1:15" ht="15" x14ac:dyDescent="0.2">
      <c r="A17" s="441" t="s">
        <v>435</v>
      </c>
      <c r="B17" s="711" t="s">
        <v>507</v>
      </c>
      <c r="C17" s="712" t="s">
        <v>79</v>
      </c>
      <c r="D17" s="739">
        <f>'Ruas Ben'!N19</f>
        <v>0</v>
      </c>
      <c r="E17" s="707">
        <f>E67+1</f>
        <v>2.7</v>
      </c>
      <c r="F17" s="707">
        <v>1.5</v>
      </c>
      <c r="G17" s="707">
        <f>1.9+1</f>
        <v>2.9</v>
      </c>
      <c r="H17" s="707"/>
      <c r="I17" s="707"/>
      <c r="J17" s="707"/>
      <c r="K17" s="707"/>
      <c r="L17" s="708">
        <f t="shared" si="1"/>
        <v>0</v>
      </c>
      <c r="N17" s="108">
        <v>1.5</v>
      </c>
      <c r="O17" s="108">
        <v>1</v>
      </c>
    </row>
    <row r="18" spans="1:15" ht="15" x14ac:dyDescent="0.2">
      <c r="A18" s="441" t="s">
        <v>436</v>
      </c>
      <c r="B18" s="711" t="s">
        <v>236</v>
      </c>
      <c r="C18" s="712" t="s">
        <v>79</v>
      </c>
      <c r="D18" s="706">
        <f>'Ruas Ben'!M19</f>
        <v>0</v>
      </c>
      <c r="E18" s="707">
        <f>E68+1</f>
        <v>2.5</v>
      </c>
      <c r="F18" s="707">
        <v>1.5</v>
      </c>
      <c r="G18" s="707">
        <f>1.9+1</f>
        <v>2.9</v>
      </c>
      <c r="H18" s="707"/>
      <c r="I18" s="707"/>
      <c r="J18" s="707"/>
      <c r="K18" s="707"/>
      <c r="L18" s="708">
        <f t="shared" si="1"/>
        <v>0</v>
      </c>
      <c r="N18" s="108">
        <v>1.3</v>
      </c>
      <c r="O18" s="108">
        <v>1</v>
      </c>
    </row>
    <row r="19" spans="1:15" ht="15" x14ac:dyDescent="0.2">
      <c r="A19" s="441" t="s">
        <v>437</v>
      </c>
      <c r="B19" s="711" t="s">
        <v>176</v>
      </c>
      <c r="C19" s="712" t="s">
        <v>79</v>
      </c>
      <c r="D19" s="706">
        <f>'Ruas Ben'!L19</f>
        <v>0</v>
      </c>
      <c r="E19" s="707">
        <f>E69+1</f>
        <v>2.4</v>
      </c>
      <c r="F19" s="707">
        <v>1.5</v>
      </c>
      <c r="G19" s="707">
        <f>1.9+1</f>
        <v>2.9</v>
      </c>
      <c r="H19" s="707"/>
      <c r="I19" s="707"/>
      <c r="J19" s="707"/>
      <c r="K19" s="707"/>
      <c r="L19" s="708">
        <f t="shared" si="1"/>
        <v>0</v>
      </c>
      <c r="N19" s="108">
        <v>1</v>
      </c>
      <c r="O19" s="108">
        <v>1</v>
      </c>
    </row>
    <row r="20" spans="1:15" ht="15" x14ac:dyDescent="0.2">
      <c r="A20" s="441" t="s">
        <v>438</v>
      </c>
      <c r="B20" s="711" t="s">
        <v>177</v>
      </c>
      <c r="C20" s="712" t="s">
        <v>79</v>
      </c>
      <c r="D20" s="706">
        <f>'Ruas Ben'!K19</f>
        <v>0</v>
      </c>
      <c r="E20" s="707">
        <f>E70+1</f>
        <v>2.2999999999999998</v>
      </c>
      <c r="F20" s="707">
        <v>1.5</v>
      </c>
      <c r="G20" s="707">
        <f>1.9+1</f>
        <v>2.9</v>
      </c>
      <c r="H20" s="707"/>
      <c r="I20" s="707"/>
      <c r="J20" s="707"/>
      <c r="K20" s="707"/>
      <c r="L20" s="708">
        <f t="shared" si="1"/>
        <v>0</v>
      </c>
      <c r="N20" s="108">
        <v>0.8</v>
      </c>
      <c r="O20" s="108">
        <v>1</v>
      </c>
    </row>
    <row r="21" spans="1:15" ht="15" x14ac:dyDescent="0.2">
      <c r="A21" s="441" t="s">
        <v>439</v>
      </c>
      <c r="B21" s="711" t="s">
        <v>171</v>
      </c>
      <c r="C21" s="712" t="s">
        <v>79</v>
      </c>
      <c r="D21" s="706">
        <f>'Ruas Ben'!P19</f>
        <v>0</v>
      </c>
      <c r="E21" s="707">
        <f>E71+1</f>
        <v>2.5</v>
      </c>
      <c r="F21" s="707">
        <v>1.5</v>
      </c>
      <c r="G21" s="707">
        <f>1.9+1</f>
        <v>2.9</v>
      </c>
      <c r="H21" s="707"/>
      <c r="I21" s="707"/>
      <c r="J21" s="707"/>
      <c r="K21" s="707"/>
      <c r="L21" s="708">
        <f t="shared" si="1"/>
        <v>0</v>
      </c>
      <c r="N21" s="108">
        <v>1.5</v>
      </c>
      <c r="O21" s="108">
        <v>1</v>
      </c>
    </row>
    <row r="22" spans="1:15" ht="15" x14ac:dyDescent="0.2">
      <c r="A22" s="441" t="s">
        <v>506</v>
      </c>
      <c r="B22" s="704" t="s">
        <v>78</v>
      </c>
      <c r="C22" s="705" t="s">
        <v>79</v>
      </c>
      <c r="D22" s="706">
        <f>'Ruas Ben'!Q19</f>
        <v>0</v>
      </c>
      <c r="E22" s="707">
        <v>2.2000000000000002</v>
      </c>
      <c r="F22" s="707">
        <v>0.35</v>
      </c>
      <c r="G22" s="707">
        <v>4.8</v>
      </c>
      <c r="H22" s="707"/>
      <c r="I22" s="707"/>
      <c r="J22" s="707"/>
      <c r="K22" s="707"/>
      <c r="L22" s="708">
        <f t="shared" si="1"/>
        <v>0</v>
      </c>
      <c r="N22" s="108">
        <v>0.35</v>
      </c>
    </row>
    <row r="23" spans="1:15" ht="28.5" customHeight="1" x14ac:dyDescent="0.2">
      <c r="A23" s="713" t="s">
        <v>80</v>
      </c>
      <c r="B23" s="1044" t="s">
        <v>470</v>
      </c>
      <c r="C23" s="1044"/>
      <c r="D23" s="1044"/>
      <c r="E23" s="1044"/>
      <c r="F23" s="1044"/>
      <c r="G23" s="1044"/>
      <c r="H23" s="1044"/>
      <c r="I23" s="1044"/>
      <c r="J23" s="671" t="s">
        <v>31</v>
      </c>
      <c r="K23" s="1042">
        <f>SUM(L24:L36)</f>
        <v>0</v>
      </c>
      <c r="L23" s="1043"/>
    </row>
    <row r="24" spans="1:15" ht="15" x14ac:dyDescent="0.2">
      <c r="A24" s="714" t="s">
        <v>24</v>
      </c>
      <c r="B24" s="704" t="str">
        <f t="shared" ref="B24:E36" si="2">B10</f>
        <v>Tubulação D=40cm</v>
      </c>
      <c r="C24" s="705" t="str">
        <f t="shared" si="2"/>
        <v>m</v>
      </c>
      <c r="D24" s="706">
        <f t="shared" si="2"/>
        <v>0</v>
      </c>
      <c r="E24" s="707">
        <f t="shared" si="2"/>
        <v>1</v>
      </c>
      <c r="F24" s="707">
        <f t="shared" ref="F24:F30" si="3">N10-F10</f>
        <v>0</v>
      </c>
      <c r="G24" s="707"/>
      <c r="H24" s="707"/>
      <c r="I24" s="707"/>
      <c r="J24" s="707"/>
      <c r="K24" s="707"/>
      <c r="L24" s="708">
        <f t="shared" ref="L24:L29" si="4">TRUNC(D24*E24*F24,3)</f>
        <v>0</v>
      </c>
    </row>
    <row r="25" spans="1:15" ht="15" x14ac:dyDescent="0.2">
      <c r="A25" s="714" t="s">
        <v>32</v>
      </c>
      <c r="B25" s="704" t="str">
        <f t="shared" si="2"/>
        <v>Tubulação D=60cm</v>
      </c>
      <c r="C25" s="705" t="str">
        <f t="shared" si="2"/>
        <v>m</v>
      </c>
      <c r="D25" s="706">
        <f t="shared" si="2"/>
        <v>0</v>
      </c>
      <c r="E25" s="707">
        <f t="shared" si="2"/>
        <v>1.2</v>
      </c>
      <c r="F25" s="707">
        <f t="shared" si="3"/>
        <v>0.2</v>
      </c>
      <c r="G25" s="707"/>
      <c r="H25" s="707"/>
      <c r="I25" s="707"/>
      <c r="J25" s="707"/>
      <c r="K25" s="707"/>
      <c r="L25" s="708">
        <f t="shared" si="4"/>
        <v>0</v>
      </c>
    </row>
    <row r="26" spans="1:15" ht="15" x14ac:dyDescent="0.2">
      <c r="A26" s="714" t="s">
        <v>33</v>
      </c>
      <c r="B26" s="704" t="str">
        <f t="shared" si="2"/>
        <v>Tubulação D=80cm</v>
      </c>
      <c r="C26" s="705" t="str">
        <f t="shared" si="2"/>
        <v>m</v>
      </c>
      <c r="D26" s="706">
        <f t="shared" si="2"/>
        <v>0</v>
      </c>
      <c r="E26" s="707">
        <f t="shared" si="2"/>
        <v>1.4</v>
      </c>
      <c r="F26" s="707">
        <f t="shared" si="3"/>
        <v>0.4</v>
      </c>
      <c r="G26" s="707"/>
      <c r="H26" s="707"/>
      <c r="I26" s="707"/>
      <c r="J26" s="707"/>
      <c r="K26" s="707"/>
      <c r="L26" s="708">
        <f t="shared" si="4"/>
        <v>0</v>
      </c>
    </row>
    <row r="27" spans="1:15" ht="15" x14ac:dyDescent="0.2">
      <c r="A27" s="714" t="s">
        <v>34</v>
      </c>
      <c r="B27" s="704" t="str">
        <f t="shared" si="2"/>
        <v>Tubulação D=100cm</v>
      </c>
      <c r="C27" s="705" t="str">
        <f t="shared" si="2"/>
        <v>m</v>
      </c>
      <c r="D27" s="706">
        <f t="shared" si="2"/>
        <v>0</v>
      </c>
      <c r="E27" s="707">
        <f t="shared" si="2"/>
        <v>1.6</v>
      </c>
      <c r="F27" s="707">
        <f t="shared" si="3"/>
        <v>0.6</v>
      </c>
      <c r="G27" s="707"/>
      <c r="H27" s="707"/>
      <c r="I27" s="707"/>
      <c r="J27" s="707"/>
      <c r="K27" s="707"/>
      <c r="L27" s="708">
        <f t="shared" si="4"/>
        <v>0</v>
      </c>
    </row>
    <row r="28" spans="1:15" ht="15" x14ac:dyDescent="0.2">
      <c r="A28" s="714" t="s">
        <v>37</v>
      </c>
      <c r="B28" s="704" t="str">
        <f t="shared" si="2"/>
        <v>Tubulação D=120cm</v>
      </c>
      <c r="C28" s="705" t="str">
        <f t="shared" si="2"/>
        <v>m</v>
      </c>
      <c r="D28" s="706">
        <f t="shared" si="2"/>
        <v>0</v>
      </c>
      <c r="E28" s="707">
        <f t="shared" si="2"/>
        <v>1.8</v>
      </c>
      <c r="F28" s="707">
        <f t="shared" si="3"/>
        <v>1</v>
      </c>
      <c r="G28" s="707"/>
      <c r="H28" s="707"/>
      <c r="I28" s="707"/>
      <c r="J28" s="707"/>
      <c r="K28" s="707"/>
      <c r="L28" s="708">
        <f t="shared" si="4"/>
        <v>0</v>
      </c>
    </row>
    <row r="29" spans="1:15" ht="15" x14ac:dyDescent="0.2">
      <c r="A29" s="714" t="s">
        <v>46</v>
      </c>
      <c r="B29" s="704" t="str">
        <f t="shared" si="2"/>
        <v>Tubulação D=150cm</v>
      </c>
      <c r="C29" s="705" t="str">
        <f t="shared" si="2"/>
        <v>m</v>
      </c>
      <c r="D29" s="706">
        <f t="shared" si="2"/>
        <v>0</v>
      </c>
      <c r="E29" s="707">
        <f t="shared" si="2"/>
        <v>2.1</v>
      </c>
      <c r="F29" s="707">
        <f t="shared" si="3"/>
        <v>1.3</v>
      </c>
      <c r="G29" s="707"/>
      <c r="H29" s="707"/>
      <c r="I29" s="707"/>
      <c r="J29" s="707"/>
      <c r="K29" s="707"/>
      <c r="L29" s="708">
        <f t="shared" si="4"/>
        <v>0</v>
      </c>
    </row>
    <row r="30" spans="1:15" ht="15" x14ac:dyDescent="0.2">
      <c r="A30" s="714" t="s">
        <v>237</v>
      </c>
      <c r="B30" s="704" t="str">
        <f t="shared" si="2"/>
        <v>Boca de lobo simples</v>
      </c>
      <c r="C30" s="705" t="str">
        <f t="shared" si="2"/>
        <v>und</v>
      </c>
      <c r="D30" s="706">
        <f t="shared" si="2"/>
        <v>0</v>
      </c>
      <c r="E30" s="707">
        <f t="shared" si="2"/>
        <v>1.9</v>
      </c>
      <c r="F30" s="707">
        <f t="shared" si="3"/>
        <v>0</v>
      </c>
      <c r="G30" s="707"/>
      <c r="H30" s="707"/>
      <c r="I30" s="707"/>
      <c r="J30" s="707"/>
      <c r="K30" s="707"/>
      <c r="L30" s="708">
        <f t="shared" ref="L30:L36" si="5">TRUNC(D30*E30*F30*G30,3)</f>
        <v>0</v>
      </c>
    </row>
    <row r="31" spans="1:15" ht="15" x14ac:dyDescent="0.2">
      <c r="A31" s="714" t="s">
        <v>238</v>
      </c>
      <c r="B31" s="704" t="str">
        <f t="shared" si="2"/>
        <v>Poço de Visita - Coletor de Ø120</v>
      </c>
      <c r="C31" s="705" t="str">
        <f t="shared" si="2"/>
        <v>und</v>
      </c>
      <c r="D31" s="739">
        <f t="shared" si="2"/>
        <v>0</v>
      </c>
      <c r="E31" s="707">
        <f t="shared" si="2"/>
        <v>2.7</v>
      </c>
      <c r="F31" s="707">
        <f t="shared" ref="F31:F36" si="6">N17+O17-F17</f>
        <v>1</v>
      </c>
      <c r="G31" s="707">
        <f t="shared" ref="G31:G36" si="7">G17</f>
        <v>2.9</v>
      </c>
      <c r="H31" s="707"/>
      <c r="I31" s="707"/>
      <c r="J31" s="707"/>
      <c r="K31" s="707"/>
      <c r="L31" s="708">
        <f t="shared" si="5"/>
        <v>0</v>
      </c>
    </row>
    <row r="32" spans="1:15" ht="15" x14ac:dyDescent="0.2">
      <c r="A32" s="714" t="s">
        <v>250</v>
      </c>
      <c r="B32" s="704" t="str">
        <f t="shared" si="2"/>
        <v>Poço de Visita - Coletor de Ø100</v>
      </c>
      <c r="C32" s="705" t="str">
        <f t="shared" si="2"/>
        <v>und</v>
      </c>
      <c r="D32" s="706">
        <f t="shared" si="2"/>
        <v>0</v>
      </c>
      <c r="E32" s="707">
        <f t="shared" si="2"/>
        <v>2.5</v>
      </c>
      <c r="F32" s="707">
        <f t="shared" si="6"/>
        <v>0.8</v>
      </c>
      <c r="G32" s="707">
        <f t="shared" si="7"/>
        <v>2.9</v>
      </c>
      <c r="H32" s="707"/>
      <c r="I32" s="707"/>
      <c r="J32" s="707"/>
      <c r="K32" s="707"/>
      <c r="L32" s="708">
        <f t="shared" si="5"/>
        <v>0</v>
      </c>
    </row>
    <row r="33" spans="1:12" ht="15" x14ac:dyDescent="0.2">
      <c r="A33" s="714" t="s">
        <v>251</v>
      </c>
      <c r="B33" s="704" t="str">
        <f t="shared" si="2"/>
        <v>Poço de Visita - Coletor de Ø80</v>
      </c>
      <c r="C33" s="705" t="str">
        <f t="shared" si="2"/>
        <v>und</v>
      </c>
      <c r="D33" s="706">
        <f t="shared" si="2"/>
        <v>0</v>
      </c>
      <c r="E33" s="707">
        <f t="shared" si="2"/>
        <v>2.4</v>
      </c>
      <c r="F33" s="707">
        <f t="shared" si="6"/>
        <v>0.5</v>
      </c>
      <c r="G33" s="707">
        <f t="shared" si="7"/>
        <v>2.9</v>
      </c>
      <c r="H33" s="707"/>
      <c r="I33" s="707"/>
      <c r="J33" s="707"/>
      <c r="K33" s="707"/>
      <c r="L33" s="708">
        <f t="shared" si="5"/>
        <v>0</v>
      </c>
    </row>
    <row r="34" spans="1:12" ht="15" x14ac:dyDescent="0.2">
      <c r="A34" s="714" t="s">
        <v>440</v>
      </c>
      <c r="B34" s="704" t="str">
        <f t="shared" si="2"/>
        <v>Poço de Visita - Coletor de Ø60</v>
      </c>
      <c r="C34" s="705" t="str">
        <f t="shared" si="2"/>
        <v>und</v>
      </c>
      <c r="D34" s="706">
        <f t="shared" si="2"/>
        <v>0</v>
      </c>
      <c r="E34" s="707">
        <f t="shared" si="2"/>
        <v>2.2999999999999998</v>
      </c>
      <c r="F34" s="707">
        <f t="shared" si="6"/>
        <v>0.3</v>
      </c>
      <c r="G34" s="707">
        <f t="shared" si="7"/>
        <v>2.9</v>
      </c>
      <c r="H34" s="707"/>
      <c r="I34" s="707"/>
      <c r="J34" s="707"/>
      <c r="K34" s="707"/>
      <c r="L34" s="708">
        <f t="shared" si="5"/>
        <v>0</v>
      </c>
    </row>
    <row r="35" spans="1:12" ht="15" x14ac:dyDescent="0.2">
      <c r="A35" s="714" t="s">
        <v>441</v>
      </c>
      <c r="B35" s="704" t="str">
        <f t="shared" si="2"/>
        <v>Caixa Coletora</v>
      </c>
      <c r="C35" s="705" t="str">
        <f t="shared" si="2"/>
        <v>und</v>
      </c>
      <c r="D35" s="706">
        <f t="shared" si="2"/>
        <v>0</v>
      </c>
      <c r="E35" s="707">
        <f t="shared" si="2"/>
        <v>2.5</v>
      </c>
      <c r="F35" s="707">
        <f t="shared" si="6"/>
        <v>1</v>
      </c>
      <c r="G35" s="707">
        <f t="shared" si="7"/>
        <v>2.9</v>
      </c>
      <c r="H35" s="707"/>
      <c r="I35" s="707"/>
      <c r="J35" s="707"/>
      <c r="K35" s="707"/>
      <c r="L35" s="708">
        <f t="shared" si="5"/>
        <v>0</v>
      </c>
    </row>
    <row r="36" spans="1:12" ht="15" x14ac:dyDescent="0.2">
      <c r="A36" s="714" t="s">
        <v>508</v>
      </c>
      <c r="B36" s="704" t="str">
        <f t="shared" si="2"/>
        <v>Dissipador de energia</v>
      </c>
      <c r="C36" s="705" t="str">
        <f t="shared" si="2"/>
        <v>und</v>
      </c>
      <c r="D36" s="706">
        <f t="shared" si="2"/>
        <v>0</v>
      </c>
      <c r="E36" s="707">
        <f t="shared" si="2"/>
        <v>2.2000000000000002</v>
      </c>
      <c r="F36" s="707">
        <f t="shared" si="6"/>
        <v>0</v>
      </c>
      <c r="G36" s="707">
        <f t="shared" si="7"/>
        <v>4.8</v>
      </c>
      <c r="H36" s="707"/>
      <c r="I36" s="707"/>
      <c r="J36" s="707"/>
      <c r="K36" s="707"/>
      <c r="L36" s="708">
        <f t="shared" si="5"/>
        <v>0</v>
      </c>
    </row>
    <row r="37" spans="1:12" ht="28.5" customHeight="1" x14ac:dyDescent="0.2">
      <c r="A37" s="672" t="s">
        <v>86</v>
      </c>
      <c r="B37" s="1045" t="s">
        <v>297</v>
      </c>
      <c r="C37" s="1045"/>
      <c r="D37" s="1045"/>
      <c r="E37" s="1045"/>
      <c r="F37" s="1045"/>
      <c r="G37" s="1045"/>
      <c r="H37" s="715" t="s">
        <v>277</v>
      </c>
      <c r="I37" s="715"/>
      <c r="J37" s="716" t="s">
        <v>278</v>
      </c>
      <c r="K37" s="671" t="s">
        <v>6</v>
      </c>
      <c r="L37" s="717">
        <f>SUM(L38:L42)</f>
        <v>0</v>
      </c>
    </row>
    <row r="38" spans="1:12" ht="15" x14ac:dyDescent="0.2">
      <c r="A38" s="655" t="s">
        <v>25</v>
      </c>
      <c r="B38" s="718" t="s">
        <v>77</v>
      </c>
      <c r="C38" s="719" t="s">
        <v>5</v>
      </c>
      <c r="D38" s="707">
        <f>D11</f>
        <v>0</v>
      </c>
      <c r="E38" s="707"/>
      <c r="F38" s="707">
        <f>N11</f>
        <v>1.7</v>
      </c>
      <c r="G38" s="707"/>
      <c r="H38" s="707">
        <v>2</v>
      </c>
      <c r="I38" s="720"/>
      <c r="J38" s="707">
        <v>9</v>
      </c>
      <c r="K38" s="720"/>
      <c r="L38" s="721">
        <f>(D38*F38*H38)/J38</f>
        <v>0</v>
      </c>
    </row>
    <row r="39" spans="1:12" ht="15" x14ac:dyDescent="0.2">
      <c r="A39" s="655" t="s">
        <v>26</v>
      </c>
      <c r="B39" s="718" t="s">
        <v>81</v>
      </c>
      <c r="C39" s="719" t="s">
        <v>5</v>
      </c>
      <c r="D39" s="707">
        <f>D12</f>
        <v>0</v>
      </c>
      <c r="E39" s="707"/>
      <c r="F39" s="707">
        <f>N12</f>
        <v>1.9</v>
      </c>
      <c r="G39" s="707"/>
      <c r="H39" s="707">
        <v>2</v>
      </c>
      <c r="I39" s="720"/>
      <c r="J39" s="707">
        <f>J38</f>
        <v>9</v>
      </c>
      <c r="K39" s="720"/>
      <c r="L39" s="721">
        <f>(D39*F39*H39)/J39</f>
        <v>0</v>
      </c>
    </row>
    <row r="40" spans="1:12" ht="15" x14ac:dyDescent="0.2">
      <c r="A40" s="655" t="s">
        <v>27</v>
      </c>
      <c r="B40" s="711" t="s">
        <v>82</v>
      </c>
      <c r="C40" s="719" t="s">
        <v>5</v>
      </c>
      <c r="D40" s="707">
        <f>D13</f>
        <v>0</v>
      </c>
      <c r="E40" s="707"/>
      <c r="F40" s="707">
        <f>N13</f>
        <v>2.1</v>
      </c>
      <c r="G40" s="707"/>
      <c r="H40" s="707">
        <v>2</v>
      </c>
      <c r="I40" s="720"/>
      <c r="J40" s="707">
        <f>J39</f>
        <v>9</v>
      </c>
      <c r="K40" s="720"/>
      <c r="L40" s="721">
        <f>(D40*F40*H40)/J40</f>
        <v>0</v>
      </c>
    </row>
    <row r="41" spans="1:12" ht="15" x14ac:dyDescent="0.2">
      <c r="A41" s="655" t="s">
        <v>28</v>
      </c>
      <c r="B41" s="711" t="s">
        <v>83</v>
      </c>
      <c r="C41" s="712" t="s">
        <v>5</v>
      </c>
      <c r="D41" s="707">
        <f>D14</f>
        <v>0</v>
      </c>
      <c r="E41" s="707"/>
      <c r="F41" s="707">
        <f>N14</f>
        <v>2.5</v>
      </c>
      <c r="G41" s="707"/>
      <c r="H41" s="707">
        <v>2</v>
      </c>
      <c r="I41" s="720"/>
      <c r="J41" s="707">
        <f>J40</f>
        <v>9</v>
      </c>
      <c r="K41" s="720"/>
      <c r="L41" s="721">
        <f>(D41*F41*H41)/J41</f>
        <v>0</v>
      </c>
    </row>
    <row r="42" spans="1:12" ht="15" x14ac:dyDescent="0.2">
      <c r="A42" s="655" t="s">
        <v>29</v>
      </c>
      <c r="B42" s="711" t="s">
        <v>84</v>
      </c>
      <c r="C42" s="712" t="s">
        <v>5</v>
      </c>
      <c r="D42" s="707">
        <f>D15</f>
        <v>0</v>
      </c>
      <c r="E42" s="707"/>
      <c r="F42" s="707">
        <f>N15</f>
        <v>2.8</v>
      </c>
      <c r="G42" s="707"/>
      <c r="H42" s="707">
        <v>2</v>
      </c>
      <c r="I42" s="720"/>
      <c r="J42" s="707">
        <f>J41</f>
        <v>9</v>
      </c>
      <c r="K42" s="720"/>
      <c r="L42" s="721">
        <f>(D42*F42*H42)/J42</f>
        <v>0</v>
      </c>
    </row>
    <row r="43" spans="1:12" ht="28.5" customHeight="1" x14ac:dyDescent="0.2">
      <c r="A43" s="722" t="s">
        <v>87</v>
      </c>
      <c r="B43" s="1046" t="s">
        <v>427</v>
      </c>
      <c r="C43" s="1046"/>
      <c r="D43" s="1046"/>
      <c r="E43" s="1046"/>
      <c r="F43" s="1046"/>
      <c r="G43" s="1046"/>
      <c r="H43" s="1046"/>
      <c r="I43" s="1046"/>
      <c r="J43" s="723" t="s">
        <v>31</v>
      </c>
      <c r="K43" s="1047">
        <f>SUM(L44:L56)</f>
        <v>0</v>
      </c>
      <c r="L43" s="1048"/>
    </row>
    <row r="44" spans="1:12" ht="15" x14ac:dyDescent="0.2">
      <c r="A44" s="655" t="s">
        <v>161</v>
      </c>
      <c r="B44" s="718" t="str">
        <f t="shared" ref="B44:E56" si="8">B10</f>
        <v>Tubulação D=40cm</v>
      </c>
      <c r="C44" s="719" t="str">
        <f t="shared" si="8"/>
        <v>m</v>
      </c>
      <c r="D44" s="724">
        <f t="shared" si="8"/>
        <v>0</v>
      </c>
      <c r="E44" s="724">
        <f t="shared" si="8"/>
        <v>1</v>
      </c>
      <c r="F44" s="724">
        <v>0.1</v>
      </c>
      <c r="G44" s="724"/>
      <c r="H44" s="724"/>
      <c r="I44" s="720"/>
      <c r="J44" s="724"/>
      <c r="K44" s="724"/>
      <c r="L44" s="725">
        <f t="shared" ref="L44:L49" si="9">E44*F44*D44</f>
        <v>0</v>
      </c>
    </row>
    <row r="45" spans="1:12" ht="15" x14ac:dyDescent="0.2">
      <c r="A45" s="655" t="s">
        <v>162</v>
      </c>
      <c r="B45" s="718" t="str">
        <f t="shared" si="8"/>
        <v>Tubulação D=60cm</v>
      </c>
      <c r="C45" s="719" t="str">
        <f t="shared" si="8"/>
        <v>m</v>
      </c>
      <c r="D45" s="724">
        <f t="shared" si="8"/>
        <v>0</v>
      </c>
      <c r="E45" s="724">
        <f t="shared" si="8"/>
        <v>1.2</v>
      </c>
      <c r="F45" s="724">
        <v>0.1</v>
      </c>
      <c r="G45" s="724"/>
      <c r="H45" s="724"/>
      <c r="I45" s="720"/>
      <c r="J45" s="724"/>
      <c r="K45" s="724"/>
      <c r="L45" s="725">
        <f t="shared" si="9"/>
        <v>0</v>
      </c>
    </row>
    <row r="46" spans="1:12" ht="15" x14ac:dyDescent="0.2">
      <c r="A46" s="655" t="s">
        <v>163</v>
      </c>
      <c r="B46" s="718" t="str">
        <f t="shared" si="8"/>
        <v>Tubulação D=80cm</v>
      </c>
      <c r="C46" s="719" t="str">
        <f t="shared" si="8"/>
        <v>m</v>
      </c>
      <c r="D46" s="724">
        <f t="shared" si="8"/>
        <v>0</v>
      </c>
      <c r="E46" s="724">
        <f t="shared" si="8"/>
        <v>1.4</v>
      </c>
      <c r="F46" s="724">
        <v>0.1</v>
      </c>
      <c r="G46" s="724"/>
      <c r="H46" s="724"/>
      <c r="I46" s="720"/>
      <c r="J46" s="724"/>
      <c r="K46" s="724"/>
      <c r="L46" s="725">
        <f t="shared" si="9"/>
        <v>0</v>
      </c>
    </row>
    <row r="47" spans="1:12" ht="15" x14ac:dyDescent="0.2">
      <c r="A47" s="655" t="s">
        <v>164</v>
      </c>
      <c r="B47" s="718" t="str">
        <f t="shared" si="8"/>
        <v>Tubulação D=100cm</v>
      </c>
      <c r="C47" s="719" t="str">
        <f t="shared" si="8"/>
        <v>m</v>
      </c>
      <c r="D47" s="724">
        <f t="shared" si="8"/>
        <v>0</v>
      </c>
      <c r="E47" s="724">
        <f t="shared" si="8"/>
        <v>1.6</v>
      </c>
      <c r="F47" s="724">
        <v>0.1</v>
      </c>
      <c r="G47" s="707"/>
      <c r="H47" s="707"/>
      <c r="I47" s="720"/>
      <c r="J47" s="707"/>
      <c r="K47" s="707"/>
      <c r="L47" s="721">
        <f t="shared" si="9"/>
        <v>0</v>
      </c>
    </row>
    <row r="48" spans="1:12" ht="15" x14ac:dyDescent="0.2">
      <c r="A48" s="655" t="s">
        <v>165</v>
      </c>
      <c r="B48" s="718" t="str">
        <f t="shared" si="8"/>
        <v>Tubulação D=120cm</v>
      </c>
      <c r="C48" s="719" t="str">
        <f t="shared" si="8"/>
        <v>m</v>
      </c>
      <c r="D48" s="724">
        <f t="shared" si="8"/>
        <v>0</v>
      </c>
      <c r="E48" s="724">
        <f t="shared" si="8"/>
        <v>1.8</v>
      </c>
      <c r="F48" s="724">
        <v>0.1</v>
      </c>
      <c r="G48" s="707"/>
      <c r="H48" s="707"/>
      <c r="I48" s="720"/>
      <c r="J48" s="707"/>
      <c r="K48" s="707"/>
      <c r="L48" s="721">
        <f t="shared" si="9"/>
        <v>0</v>
      </c>
    </row>
    <row r="49" spans="1:12" ht="15" x14ac:dyDescent="0.2">
      <c r="A49" s="655" t="s">
        <v>166</v>
      </c>
      <c r="B49" s="718" t="str">
        <f t="shared" si="8"/>
        <v>Tubulação D=150cm</v>
      </c>
      <c r="C49" s="719" t="str">
        <f t="shared" si="8"/>
        <v>m</v>
      </c>
      <c r="D49" s="724">
        <f t="shared" si="8"/>
        <v>0</v>
      </c>
      <c r="E49" s="724">
        <f t="shared" si="8"/>
        <v>2.1</v>
      </c>
      <c r="F49" s="724">
        <v>0.1</v>
      </c>
      <c r="G49" s="707"/>
      <c r="H49" s="707"/>
      <c r="I49" s="720"/>
      <c r="J49" s="707"/>
      <c r="K49" s="707"/>
      <c r="L49" s="721">
        <f t="shared" si="9"/>
        <v>0</v>
      </c>
    </row>
    <row r="50" spans="1:12" ht="15" x14ac:dyDescent="0.2">
      <c r="A50" s="655" t="s">
        <v>167</v>
      </c>
      <c r="B50" s="718" t="str">
        <f t="shared" si="8"/>
        <v>Boca de lobo simples</v>
      </c>
      <c r="C50" s="719" t="str">
        <f t="shared" si="8"/>
        <v>und</v>
      </c>
      <c r="D50" s="724">
        <f t="shared" si="8"/>
        <v>0</v>
      </c>
      <c r="E50" s="724">
        <f t="shared" si="8"/>
        <v>1.9</v>
      </c>
      <c r="F50" s="707"/>
      <c r="G50" s="707">
        <f t="shared" ref="G50:G56" si="10">G16</f>
        <v>1.9</v>
      </c>
      <c r="H50" s="707"/>
      <c r="I50" s="720"/>
      <c r="J50" s="707"/>
      <c r="K50" s="720"/>
      <c r="L50" s="721">
        <f t="shared" ref="L50:L56" si="11">E50*F50*G50*D50</f>
        <v>0</v>
      </c>
    </row>
    <row r="51" spans="1:12" ht="15" x14ac:dyDescent="0.2">
      <c r="A51" s="655" t="s">
        <v>168</v>
      </c>
      <c r="B51" s="718" t="str">
        <f t="shared" si="8"/>
        <v>Poço de Visita - Coletor de Ø120</v>
      </c>
      <c r="C51" s="719" t="str">
        <f t="shared" si="8"/>
        <v>und</v>
      </c>
      <c r="D51" s="724">
        <f t="shared" si="8"/>
        <v>0</v>
      </c>
      <c r="E51" s="724">
        <f t="shared" si="8"/>
        <v>2.7</v>
      </c>
      <c r="F51" s="707"/>
      <c r="G51" s="707">
        <f t="shared" si="10"/>
        <v>2.9</v>
      </c>
      <c r="H51" s="707"/>
      <c r="I51" s="720"/>
      <c r="J51" s="707"/>
      <c r="K51" s="720"/>
      <c r="L51" s="721">
        <f>E51*F51*G51*D51</f>
        <v>0</v>
      </c>
    </row>
    <row r="52" spans="1:12" ht="15" x14ac:dyDescent="0.2">
      <c r="A52" s="655" t="s">
        <v>178</v>
      </c>
      <c r="B52" s="718" t="str">
        <f t="shared" si="8"/>
        <v>Poço de Visita - Coletor de Ø100</v>
      </c>
      <c r="C52" s="719" t="str">
        <f t="shared" si="8"/>
        <v>und</v>
      </c>
      <c r="D52" s="724">
        <f t="shared" si="8"/>
        <v>0</v>
      </c>
      <c r="E52" s="724">
        <f t="shared" si="8"/>
        <v>2.5</v>
      </c>
      <c r="F52" s="707"/>
      <c r="G52" s="707">
        <f t="shared" si="10"/>
        <v>2.9</v>
      </c>
      <c r="H52" s="707"/>
      <c r="I52" s="720"/>
      <c r="J52" s="707"/>
      <c r="K52" s="720"/>
      <c r="L52" s="721">
        <f t="shared" si="11"/>
        <v>0</v>
      </c>
    </row>
    <row r="53" spans="1:12" ht="15" x14ac:dyDescent="0.2">
      <c r="A53" s="655" t="s">
        <v>252</v>
      </c>
      <c r="B53" s="718" t="str">
        <f t="shared" si="8"/>
        <v>Poço de Visita - Coletor de Ø80</v>
      </c>
      <c r="C53" s="719" t="str">
        <f t="shared" si="8"/>
        <v>und</v>
      </c>
      <c r="D53" s="724">
        <f t="shared" si="8"/>
        <v>0</v>
      </c>
      <c r="E53" s="724">
        <f t="shared" si="8"/>
        <v>2.4</v>
      </c>
      <c r="F53" s="707"/>
      <c r="G53" s="707">
        <f t="shared" si="10"/>
        <v>2.9</v>
      </c>
      <c r="H53" s="707"/>
      <c r="I53" s="720"/>
      <c r="J53" s="707"/>
      <c r="K53" s="720"/>
      <c r="L53" s="721">
        <f t="shared" si="11"/>
        <v>0</v>
      </c>
    </row>
    <row r="54" spans="1:12" ht="15" x14ac:dyDescent="0.2">
      <c r="A54" s="655" t="s">
        <v>442</v>
      </c>
      <c r="B54" s="718" t="str">
        <f t="shared" si="8"/>
        <v>Poço de Visita - Coletor de Ø60</v>
      </c>
      <c r="C54" s="719" t="str">
        <f t="shared" si="8"/>
        <v>und</v>
      </c>
      <c r="D54" s="724">
        <f t="shared" si="8"/>
        <v>0</v>
      </c>
      <c r="E54" s="724">
        <f t="shared" si="8"/>
        <v>2.2999999999999998</v>
      </c>
      <c r="F54" s="707"/>
      <c r="G54" s="707">
        <f t="shared" si="10"/>
        <v>2.9</v>
      </c>
      <c r="H54" s="707"/>
      <c r="I54" s="720"/>
      <c r="J54" s="707"/>
      <c r="K54" s="720"/>
      <c r="L54" s="721">
        <f t="shared" si="11"/>
        <v>0</v>
      </c>
    </row>
    <row r="55" spans="1:12" ht="15" x14ac:dyDescent="0.2">
      <c r="A55" s="655" t="s">
        <v>443</v>
      </c>
      <c r="B55" s="718" t="str">
        <f t="shared" si="8"/>
        <v>Caixa Coletora</v>
      </c>
      <c r="C55" s="719" t="str">
        <f t="shared" si="8"/>
        <v>und</v>
      </c>
      <c r="D55" s="724">
        <f t="shared" si="8"/>
        <v>0</v>
      </c>
      <c r="E55" s="724">
        <f t="shared" si="8"/>
        <v>2.5</v>
      </c>
      <c r="F55" s="707"/>
      <c r="G55" s="707">
        <f t="shared" si="10"/>
        <v>2.9</v>
      </c>
      <c r="H55" s="707"/>
      <c r="I55" s="720"/>
      <c r="J55" s="707"/>
      <c r="K55" s="720"/>
      <c r="L55" s="721">
        <f t="shared" si="11"/>
        <v>0</v>
      </c>
    </row>
    <row r="56" spans="1:12" ht="15" x14ac:dyDescent="0.2">
      <c r="A56" s="655" t="s">
        <v>511</v>
      </c>
      <c r="B56" s="718" t="str">
        <f t="shared" si="8"/>
        <v>Dissipador de energia</v>
      </c>
      <c r="C56" s="719" t="str">
        <f t="shared" si="8"/>
        <v>und</v>
      </c>
      <c r="D56" s="724">
        <f t="shared" si="8"/>
        <v>0</v>
      </c>
      <c r="E56" s="724">
        <f t="shared" si="8"/>
        <v>2.2000000000000002</v>
      </c>
      <c r="F56" s="707"/>
      <c r="G56" s="707">
        <f t="shared" si="10"/>
        <v>4.8</v>
      </c>
      <c r="H56" s="707"/>
      <c r="I56" s="720"/>
      <c r="J56" s="707"/>
      <c r="K56" s="720"/>
      <c r="L56" s="721">
        <f t="shared" si="11"/>
        <v>0</v>
      </c>
    </row>
    <row r="57" spans="1:12" ht="58.5" customHeight="1" x14ac:dyDescent="0.2">
      <c r="A57" s="726" t="s">
        <v>169</v>
      </c>
      <c r="B57" s="1049" t="s">
        <v>473</v>
      </c>
      <c r="C57" s="1049"/>
      <c r="D57" s="1049"/>
      <c r="E57" s="1049"/>
      <c r="F57" s="1049"/>
      <c r="G57" s="1049"/>
      <c r="H57" s="1049"/>
      <c r="I57" s="1049"/>
      <c r="J57" s="723" t="s">
        <v>31</v>
      </c>
      <c r="K57" s="1050">
        <f>SUM(L60:L72)</f>
        <v>0</v>
      </c>
      <c r="L57" s="1051"/>
    </row>
    <row r="58" spans="1:12" ht="28.5" customHeight="1" x14ac:dyDescent="0.2">
      <c r="A58" s="1052" t="s">
        <v>0</v>
      </c>
      <c r="B58" s="1053" t="s">
        <v>137</v>
      </c>
      <c r="C58" s="1054" t="s">
        <v>2</v>
      </c>
      <c r="D58" s="1055" t="s">
        <v>3</v>
      </c>
      <c r="E58" s="1055" t="s">
        <v>444</v>
      </c>
      <c r="F58" s="1055"/>
      <c r="G58" s="1055"/>
      <c r="H58" s="1055" t="s">
        <v>445</v>
      </c>
      <c r="I58" s="1055"/>
      <c r="J58" s="1055" t="s">
        <v>446</v>
      </c>
      <c r="K58" s="1055" t="s">
        <v>447</v>
      </c>
      <c r="L58" s="1056" t="s">
        <v>448</v>
      </c>
    </row>
    <row r="59" spans="1:12" ht="28.5" customHeight="1" x14ac:dyDescent="0.2">
      <c r="A59" s="1052"/>
      <c r="B59" s="1053"/>
      <c r="C59" s="1054"/>
      <c r="D59" s="1055"/>
      <c r="E59" s="727" t="s">
        <v>449</v>
      </c>
      <c r="F59" s="727" t="s">
        <v>450</v>
      </c>
      <c r="G59" s="727" t="s">
        <v>451</v>
      </c>
      <c r="H59" s="1055"/>
      <c r="I59" s="1055"/>
      <c r="J59" s="1055"/>
      <c r="K59" s="1055"/>
      <c r="L59" s="1056"/>
    </row>
    <row r="60" spans="1:12" ht="15" x14ac:dyDescent="0.2">
      <c r="A60" s="441" t="s">
        <v>279</v>
      </c>
      <c r="B60" s="704" t="str">
        <f t="shared" ref="B60:D72" si="12">B10</f>
        <v>Tubulação D=40cm</v>
      </c>
      <c r="C60" s="705" t="str">
        <f t="shared" si="12"/>
        <v>m</v>
      </c>
      <c r="D60" s="706">
        <f t="shared" si="12"/>
        <v>0</v>
      </c>
      <c r="E60" s="706"/>
      <c r="F60" s="707"/>
      <c r="G60" s="707"/>
      <c r="H60" s="657" t="s">
        <v>144</v>
      </c>
      <c r="I60" s="728">
        <f>((0.2*0.2))*3.1416</f>
        <v>0.12565999999999999</v>
      </c>
      <c r="J60" s="729">
        <f>TRUNC(D60*I60,3)</f>
        <v>0</v>
      </c>
      <c r="K60" s="707">
        <f t="shared" ref="K60:K72" si="13">L10</f>
        <v>0</v>
      </c>
      <c r="L60" s="708">
        <f>TRUNC(K60-J60,3)</f>
        <v>0</v>
      </c>
    </row>
    <row r="61" spans="1:12" ht="15" x14ac:dyDescent="0.2">
      <c r="A61" s="441" t="s">
        <v>280</v>
      </c>
      <c r="B61" s="704" t="str">
        <f t="shared" si="12"/>
        <v>Tubulação D=60cm</v>
      </c>
      <c r="C61" s="705" t="str">
        <f t="shared" si="12"/>
        <v>m</v>
      </c>
      <c r="D61" s="706">
        <f t="shared" si="12"/>
        <v>0</v>
      </c>
      <c r="E61" s="707"/>
      <c r="F61" s="707"/>
      <c r="G61" s="707"/>
      <c r="H61" s="657" t="s">
        <v>144</v>
      </c>
      <c r="I61" s="728">
        <f>((0.3*0.3))*3.1416</f>
        <v>0.28273999999999999</v>
      </c>
      <c r="J61" s="729">
        <f t="shared" ref="J61:J72" si="14">TRUNC(D61*I61,3)</f>
        <v>0</v>
      </c>
      <c r="K61" s="707">
        <f t="shared" si="13"/>
        <v>0</v>
      </c>
      <c r="L61" s="708">
        <f t="shared" ref="L61:L72" si="15">TRUNC(K61-J61,3)</f>
        <v>0</v>
      </c>
    </row>
    <row r="62" spans="1:12" ht="15" x14ac:dyDescent="0.2">
      <c r="A62" s="441" t="s">
        <v>281</v>
      </c>
      <c r="B62" s="704" t="str">
        <f t="shared" si="12"/>
        <v>Tubulação D=80cm</v>
      </c>
      <c r="C62" s="705" t="str">
        <f t="shared" si="12"/>
        <v>m</v>
      </c>
      <c r="D62" s="706">
        <f t="shared" si="12"/>
        <v>0</v>
      </c>
      <c r="E62" s="710"/>
      <c r="F62" s="707"/>
      <c r="G62" s="707"/>
      <c r="H62" s="657" t="s">
        <v>144</v>
      </c>
      <c r="I62" s="728">
        <f>((0.4*0.4))*3.1416</f>
        <v>0.50266</v>
      </c>
      <c r="J62" s="729">
        <f t="shared" si="14"/>
        <v>0</v>
      </c>
      <c r="K62" s="707">
        <f t="shared" si="13"/>
        <v>0</v>
      </c>
      <c r="L62" s="708">
        <f t="shared" si="15"/>
        <v>0</v>
      </c>
    </row>
    <row r="63" spans="1:12" ht="15" x14ac:dyDescent="0.2">
      <c r="A63" s="441" t="s">
        <v>282</v>
      </c>
      <c r="B63" s="704" t="str">
        <f t="shared" si="12"/>
        <v>Tubulação D=100cm</v>
      </c>
      <c r="C63" s="705" t="str">
        <f t="shared" si="12"/>
        <v>m</v>
      </c>
      <c r="D63" s="706">
        <f t="shared" si="12"/>
        <v>0</v>
      </c>
      <c r="E63" s="710"/>
      <c r="F63" s="707"/>
      <c r="G63" s="707"/>
      <c r="H63" s="657" t="s">
        <v>144</v>
      </c>
      <c r="I63" s="728">
        <f>((0.5*0.5))*3.1416</f>
        <v>0.78539999999999999</v>
      </c>
      <c r="J63" s="729">
        <f t="shared" si="14"/>
        <v>0</v>
      </c>
      <c r="K63" s="707">
        <f t="shared" si="13"/>
        <v>0</v>
      </c>
      <c r="L63" s="708">
        <f t="shared" si="15"/>
        <v>0</v>
      </c>
    </row>
    <row r="64" spans="1:12" ht="15" x14ac:dyDescent="0.2">
      <c r="A64" s="441" t="s">
        <v>283</v>
      </c>
      <c r="B64" s="704" t="str">
        <f t="shared" si="12"/>
        <v>Tubulação D=120cm</v>
      </c>
      <c r="C64" s="705" t="str">
        <f t="shared" si="12"/>
        <v>m</v>
      </c>
      <c r="D64" s="706">
        <f t="shared" si="12"/>
        <v>0</v>
      </c>
      <c r="E64" s="706"/>
      <c r="F64" s="707"/>
      <c r="G64" s="707"/>
      <c r="H64" s="657" t="s">
        <v>144</v>
      </c>
      <c r="I64" s="728">
        <f>((0.6*0.6))*3.1416</f>
        <v>1.1309800000000001</v>
      </c>
      <c r="J64" s="729">
        <f t="shared" si="14"/>
        <v>0</v>
      </c>
      <c r="K64" s="707">
        <f t="shared" si="13"/>
        <v>0</v>
      </c>
      <c r="L64" s="708">
        <f t="shared" si="15"/>
        <v>0</v>
      </c>
    </row>
    <row r="65" spans="1:12" ht="15" x14ac:dyDescent="0.2">
      <c r="A65" s="441" t="s">
        <v>284</v>
      </c>
      <c r="B65" s="704" t="str">
        <f t="shared" si="12"/>
        <v>Tubulação D=150cm</v>
      </c>
      <c r="C65" s="705" t="str">
        <f t="shared" si="12"/>
        <v>m</v>
      </c>
      <c r="D65" s="706">
        <f t="shared" si="12"/>
        <v>0</v>
      </c>
      <c r="E65" s="707"/>
      <c r="F65" s="707"/>
      <c r="G65" s="707"/>
      <c r="H65" s="657" t="s">
        <v>144</v>
      </c>
      <c r="I65" s="728">
        <f>((0.75*0.75))*3.1416</f>
        <v>1.76715</v>
      </c>
      <c r="J65" s="729">
        <f t="shared" si="14"/>
        <v>0</v>
      </c>
      <c r="K65" s="707">
        <f t="shared" si="13"/>
        <v>0</v>
      </c>
      <c r="L65" s="708">
        <f t="shared" si="15"/>
        <v>0</v>
      </c>
    </row>
    <row r="66" spans="1:12" ht="15" x14ac:dyDescent="0.2">
      <c r="A66" s="441" t="s">
        <v>285</v>
      </c>
      <c r="B66" s="704" t="str">
        <f t="shared" si="12"/>
        <v>Boca de lobo simples</v>
      </c>
      <c r="C66" s="705" t="str">
        <f t="shared" si="12"/>
        <v>und</v>
      </c>
      <c r="D66" s="706">
        <f t="shared" si="12"/>
        <v>0</v>
      </c>
      <c r="E66" s="657">
        <v>1.4</v>
      </c>
      <c r="F66" s="657">
        <f>N16+O16</f>
        <v>1.5</v>
      </c>
      <c r="G66" s="657">
        <v>1.4</v>
      </c>
      <c r="H66" s="707"/>
      <c r="I66" s="707"/>
      <c r="J66" s="729">
        <f t="shared" si="14"/>
        <v>0</v>
      </c>
      <c r="K66" s="707">
        <f t="shared" si="13"/>
        <v>0</v>
      </c>
      <c r="L66" s="708">
        <f t="shared" si="15"/>
        <v>0</v>
      </c>
    </row>
    <row r="67" spans="1:12" ht="15" x14ac:dyDescent="0.2">
      <c r="A67" s="441" t="s">
        <v>286</v>
      </c>
      <c r="B67" s="704" t="str">
        <f t="shared" si="12"/>
        <v>Poço de Visita - Coletor de Ø120</v>
      </c>
      <c r="C67" s="705" t="str">
        <f t="shared" si="12"/>
        <v>und</v>
      </c>
      <c r="D67" s="739">
        <f t="shared" si="12"/>
        <v>0</v>
      </c>
      <c r="E67" s="730">
        <v>1.7</v>
      </c>
      <c r="F67" s="657">
        <v>1.5</v>
      </c>
      <c r="G67" s="730">
        <v>1.9</v>
      </c>
      <c r="H67" s="707"/>
      <c r="I67" s="707"/>
      <c r="J67" s="729">
        <f>TRUNC(D67*I67,3)</f>
        <v>0</v>
      </c>
      <c r="K67" s="707">
        <f t="shared" si="13"/>
        <v>0</v>
      </c>
      <c r="L67" s="708">
        <f>TRUNC(K67-J67,3)</f>
        <v>0</v>
      </c>
    </row>
    <row r="68" spans="1:12" ht="15" x14ac:dyDescent="0.2">
      <c r="A68" s="441" t="s">
        <v>287</v>
      </c>
      <c r="B68" s="704" t="str">
        <f t="shared" si="12"/>
        <v>Poço de Visita - Coletor de Ø100</v>
      </c>
      <c r="C68" s="705" t="str">
        <f t="shared" si="12"/>
        <v>und</v>
      </c>
      <c r="D68" s="706">
        <f t="shared" si="12"/>
        <v>0</v>
      </c>
      <c r="E68" s="730">
        <v>1.5</v>
      </c>
      <c r="F68" s="657">
        <v>1.5</v>
      </c>
      <c r="G68" s="730">
        <v>1.9</v>
      </c>
      <c r="H68" s="707"/>
      <c r="I68" s="707"/>
      <c r="J68" s="729">
        <f t="shared" si="14"/>
        <v>0</v>
      </c>
      <c r="K68" s="707">
        <f t="shared" si="13"/>
        <v>0</v>
      </c>
      <c r="L68" s="708">
        <f t="shared" si="15"/>
        <v>0</v>
      </c>
    </row>
    <row r="69" spans="1:12" ht="15" x14ac:dyDescent="0.2">
      <c r="A69" s="441" t="s">
        <v>288</v>
      </c>
      <c r="B69" s="704" t="str">
        <f t="shared" si="12"/>
        <v>Poço de Visita - Coletor de Ø80</v>
      </c>
      <c r="C69" s="705" t="str">
        <f t="shared" si="12"/>
        <v>und</v>
      </c>
      <c r="D69" s="706">
        <f t="shared" si="12"/>
        <v>0</v>
      </c>
      <c r="E69" s="730">
        <v>1.4</v>
      </c>
      <c r="F69" s="657">
        <v>1.5</v>
      </c>
      <c r="G69" s="730">
        <v>1.9</v>
      </c>
      <c r="H69" s="707"/>
      <c r="I69" s="707"/>
      <c r="J69" s="729">
        <f t="shared" si="14"/>
        <v>0</v>
      </c>
      <c r="K69" s="707">
        <f t="shared" si="13"/>
        <v>0</v>
      </c>
      <c r="L69" s="708">
        <f t="shared" si="15"/>
        <v>0</v>
      </c>
    </row>
    <row r="70" spans="1:12" ht="15" x14ac:dyDescent="0.2">
      <c r="A70" s="441" t="s">
        <v>452</v>
      </c>
      <c r="B70" s="704" t="str">
        <f t="shared" si="12"/>
        <v>Poço de Visita - Coletor de Ø60</v>
      </c>
      <c r="C70" s="705" t="str">
        <f t="shared" si="12"/>
        <v>und</v>
      </c>
      <c r="D70" s="706">
        <f t="shared" si="12"/>
        <v>0</v>
      </c>
      <c r="E70" s="730">
        <v>1.3</v>
      </c>
      <c r="F70" s="657">
        <v>1.5</v>
      </c>
      <c r="G70" s="730">
        <v>1.9</v>
      </c>
      <c r="H70" s="707"/>
      <c r="I70" s="707"/>
      <c r="J70" s="729">
        <f t="shared" si="14"/>
        <v>0</v>
      </c>
      <c r="K70" s="707">
        <f t="shared" si="13"/>
        <v>0</v>
      </c>
      <c r="L70" s="708">
        <f t="shared" si="15"/>
        <v>0</v>
      </c>
    </row>
    <row r="71" spans="1:12" ht="15" x14ac:dyDescent="0.2">
      <c r="A71" s="441" t="s">
        <v>453</v>
      </c>
      <c r="B71" s="704" t="str">
        <f t="shared" si="12"/>
        <v>Caixa Coletora</v>
      </c>
      <c r="C71" s="705" t="str">
        <f t="shared" si="12"/>
        <v>und</v>
      </c>
      <c r="D71" s="706">
        <f t="shared" si="12"/>
        <v>0</v>
      </c>
      <c r="E71" s="730">
        <v>1.5</v>
      </c>
      <c r="F71" s="657">
        <v>1.5</v>
      </c>
      <c r="G71" s="730">
        <v>1.9</v>
      </c>
      <c r="H71" s="707"/>
      <c r="I71" s="707"/>
      <c r="J71" s="729">
        <f t="shared" si="14"/>
        <v>0</v>
      </c>
      <c r="K71" s="707">
        <f t="shared" si="13"/>
        <v>0</v>
      </c>
      <c r="L71" s="708">
        <f t="shared" si="15"/>
        <v>0</v>
      </c>
    </row>
    <row r="72" spans="1:12" ht="15" x14ac:dyDescent="0.2">
      <c r="A72" s="441" t="s">
        <v>510</v>
      </c>
      <c r="B72" s="704" t="str">
        <f t="shared" si="12"/>
        <v>Dissipador de energia</v>
      </c>
      <c r="C72" s="705" t="str">
        <f t="shared" si="12"/>
        <v>und</v>
      </c>
      <c r="D72" s="706">
        <f t="shared" si="12"/>
        <v>0</v>
      </c>
      <c r="E72" s="707"/>
      <c r="F72" s="707"/>
      <c r="G72" s="707"/>
      <c r="H72" s="707"/>
      <c r="I72" s="707"/>
      <c r="J72" s="729">
        <f t="shared" si="14"/>
        <v>0</v>
      </c>
      <c r="K72" s="707">
        <f t="shared" si="13"/>
        <v>0</v>
      </c>
      <c r="L72" s="708">
        <f t="shared" si="15"/>
        <v>0</v>
      </c>
    </row>
    <row r="73" spans="1:12" ht="15" x14ac:dyDescent="0.2">
      <c r="A73" s="731"/>
      <c r="B73" s="732"/>
      <c r="C73" s="705"/>
      <c r="D73" s="730"/>
      <c r="E73" s="730"/>
      <c r="F73" s="730"/>
      <c r="G73" s="730"/>
      <c r="H73" s="727"/>
      <c r="I73" s="733"/>
      <c r="J73" s="707"/>
      <c r="K73" s="734"/>
      <c r="L73" s="735"/>
    </row>
    <row r="74" spans="1:12" ht="66" customHeight="1" x14ac:dyDescent="0.2">
      <c r="A74" s="726" t="s">
        <v>243</v>
      </c>
      <c r="B74" s="1049" t="s">
        <v>472</v>
      </c>
      <c r="C74" s="1049"/>
      <c r="D74" s="1049"/>
      <c r="E74" s="1049"/>
      <c r="F74" s="1049"/>
      <c r="G74" s="1049"/>
      <c r="H74" s="1049"/>
      <c r="I74" s="1049"/>
      <c r="J74" s="723" t="s">
        <v>31</v>
      </c>
      <c r="K74" s="1050">
        <f>SUM(L77:L89)</f>
        <v>0</v>
      </c>
      <c r="L74" s="1051"/>
    </row>
    <row r="75" spans="1:12" ht="14.25" x14ac:dyDescent="0.2">
      <c r="A75" s="1052" t="s">
        <v>0</v>
      </c>
      <c r="B75" s="1057" t="s">
        <v>137</v>
      </c>
      <c r="C75" s="1054" t="s">
        <v>2</v>
      </c>
      <c r="D75" s="1055" t="s">
        <v>3</v>
      </c>
      <c r="E75" s="1055" t="s">
        <v>444</v>
      </c>
      <c r="F75" s="1055"/>
      <c r="G75" s="1055"/>
      <c r="H75" s="1055" t="s">
        <v>445</v>
      </c>
      <c r="I75" s="1055"/>
      <c r="J75" s="1055" t="s">
        <v>446</v>
      </c>
      <c r="K75" s="1055" t="s">
        <v>447</v>
      </c>
      <c r="L75" s="1056" t="s">
        <v>448</v>
      </c>
    </row>
    <row r="76" spans="1:12" ht="30" x14ac:dyDescent="0.2">
      <c r="A76" s="1052"/>
      <c r="B76" s="1057"/>
      <c r="C76" s="1054"/>
      <c r="D76" s="1055"/>
      <c r="E76" s="727" t="s">
        <v>449</v>
      </c>
      <c r="F76" s="727" t="s">
        <v>450</v>
      </c>
      <c r="G76" s="727" t="s">
        <v>451</v>
      </c>
      <c r="H76" s="1055"/>
      <c r="I76" s="1055"/>
      <c r="J76" s="1055"/>
      <c r="K76" s="1055"/>
      <c r="L76" s="1056"/>
    </row>
    <row r="77" spans="1:12" ht="15" x14ac:dyDescent="0.2">
      <c r="A77" s="731" t="s">
        <v>454</v>
      </c>
      <c r="B77" s="732" t="str">
        <f t="shared" ref="B77:D89" si="16">B10</f>
        <v>Tubulação D=40cm</v>
      </c>
      <c r="C77" s="705" t="str">
        <f t="shared" si="16"/>
        <v>m</v>
      </c>
      <c r="D77" s="730">
        <f t="shared" si="16"/>
        <v>0</v>
      </c>
      <c r="E77" s="730"/>
      <c r="F77" s="730"/>
      <c r="G77" s="730"/>
      <c r="H77" s="657" t="s">
        <v>144</v>
      </c>
      <c r="I77" s="733"/>
      <c r="J77" s="729">
        <f t="shared" ref="J77:J82" si="17">TRUNC(I77*D77,3)</f>
        <v>0</v>
      </c>
      <c r="K77" s="729">
        <f t="shared" ref="K77:K89" si="18">L24</f>
        <v>0</v>
      </c>
      <c r="L77" s="708">
        <f>TRUNC(J77-K77,3)</f>
        <v>0</v>
      </c>
    </row>
    <row r="78" spans="1:12" ht="15" x14ac:dyDescent="0.2">
      <c r="A78" s="731" t="s">
        <v>455</v>
      </c>
      <c r="B78" s="732" t="str">
        <f t="shared" si="16"/>
        <v>Tubulação D=60cm</v>
      </c>
      <c r="C78" s="705" t="str">
        <f t="shared" si="16"/>
        <v>m</v>
      </c>
      <c r="D78" s="730">
        <f t="shared" si="16"/>
        <v>0</v>
      </c>
      <c r="E78" s="730"/>
      <c r="F78" s="730"/>
      <c r="G78" s="730"/>
      <c r="H78" s="657" t="s">
        <v>144</v>
      </c>
      <c r="I78" s="733"/>
      <c r="J78" s="729">
        <f t="shared" si="17"/>
        <v>0</v>
      </c>
      <c r="K78" s="729">
        <f t="shared" si="18"/>
        <v>0</v>
      </c>
      <c r="L78" s="708">
        <f>TRUNC(K78-J78,3)</f>
        <v>0</v>
      </c>
    </row>
    <row r="79" spans="1:12" ht="15" x14ac:dyDescent="0.2">
      <c r="A79" s="731" t="s">
        <v>456</v>
      </c>
      <c r="B79" s="732" t="str">
        <f t="shared" si="16"/>
        <v>Tubulação D=80cm</v>
      </c>
      <c r="C79" s="705" t="str">
        <f t="shared" si="16"/>
        <v>m</v>
      </c>
      <c r="D79" s="730">
        <f t="shared" si="16"/>
        <v>0</v>
      </c>
      <c r="E79" s="730"/>
      <c r="F79" s="730"/>
      <c r="G79" s="730"/>
      <c r="H79" s="657" t="s">
        <v>144</v>
      </c>
      <c r="I79" s="733"/>
      <c r="J79" s="729">
        <f t="shared" si="17"/>
        <v>0</v>
      </c>
      <c r="K79" s="729">
        <f t="shared" si="18"/>
        <v>0</v>
      </c>
      <c r="L79" s="708">
        <f t="shared" ref="L79:L89" si="19">TRUNC(K79-J79,3)</f>
        <v>0</v>
      </c>
    </row>
    <row r="80" spans="1:12" ht="15" x14ac:dyDescent="0.2">
      <c r="A80" s="731" t="s">
        <v>457</v>
      </c>
      <c r="B80" s="732" t="str">
        <f t="shared" si="16"/>
        <v>Tubulação D=100cm</v>
      </c>
      <c r="C80" s="705" t="str">
        <f t="shared" si="16"/>
        <v>m</v>
      </c>
      <c r="D80" s="730">
        <f t="shared" si="16"/>
        <v>0</v>
      </c>
      <c r="E80" s="730"/>
      <c r="F80" s="730"/>
      <c r="G80" s="730"/>
      <c r="H80" s="657" t="s">
        <v>144</v>
      </c>
      <c r="I80" s="733"/>
      <c r="J80" s="729">
        <f t="shared" si="17"/>
        <v>0</v>
      </c>
      <c r="K80" s="729">
        <f t="shared" si="18"/>
        <v>0</v>
      </c>
      <c r="L80" s="708">
        <f t="shared" si="19"/>
        <v>0</v>
      </c>
    </row>
    <row r="81" spans="1:14" ht="15" x14ac:dyDescent="0.2">
      <c r="A81" s="731" t="s">
        <v>458</v>
      </c>
      <c r="B81" s="732" t="str">
        <f t="shared" si="16"/>
        <v>Tubulação D=120cm</v>
      </c>
      <c r="C81" s="705" t="str">
        <f t="shared" si="16"/>
        <v>m</v>
      </c>
      <c r="D81" s="730">
        <f t="shared" si="16"/>
        <v>0</v>
      </c>
      <c r="E81" s="730"/>
      <c r="F81" s="730"/>
      <c r="G81" s="730"/>
      <c r="H81" s="657" t="s">
        <v>144</v>
      </c>
      <c r="I81" s="733"/>
      <c r="J81" s="729">
        <f t="shared" si="17"/>
        <v>0</v>
      </c>
      <c r="K81" s="729">
        <f t="shared" si="18"/>
        <v>0</v>
      </c>
      <c r="L81" s="708">
        <f t="shared" si="19"/>
        <v>0</v>
      </c>
    </row>
    <row r="82" spans="1:14" ht="15" x14ac:dyDescent="0.2">
      <c r="A82" s="731" t="s">
        <v>459</v>
      </c>
      <c r="B82" s="732" t="str">
        <f t="shared" si="16"/>
        <v>Tubulação D=150cm</v>
      </c>
      <c r="C82" s="705" t="str">
        <f t="shared" si="16"/>
        <v>m</v>
      </c>
      <c r="D82" s="730">
        <f t="shared" si="16"/>
        <v>0</v>
      </c>
      <c r="E82" s="730"/>
      <c r="F82" s="730"/>
      <c r="G82" s="730"/>
      <c r="H82" s="657" t="s">
        <v>144</v>
      </c>
      <c r="I82" s="733"/>
      <c r="J82" s="729">
        <f t="shared" si="17"/>
        <v>0</v>
      </c>
      <c r="K82" s="729">
        <f t="shared" si="18"/>
        <v>0</v>
      </c>
      <c r="L82" s="708">
        <f t="shared" si="19"/>
        <v>0</v>
      </c>
    </row>
    <row r="83" spans="1:14" ht="15" x14ac:dyDescent="0.2">
      <c r="A83" s="731" t="s">
        <v>460</v>
      </c>
      <c r="B83" s="732" t="str">
        <f t="shared" si="16"/>
        <v>Boca de lobo simples</v>
      </c>
      <c r="C83" s="705" t="str">
        <f t="shared" si="16"/>
        <v>und</v>
      </c>
      <c r="D83" s="730">
        <f t="shared" si="16"/>
        <v>0</v>
      </c>
      <c r="E83" s="730">
        <f t="shared" ref="E83:E88" si="20">E66</f>
        <v>1.4</v>
      </c>
      <c r="F83" s="730">
        <f t="shared" ref="F83:F88" si="21">N16+O16-F66</f>
        <v>0</v>
      </c>
      <c r="G83" s="730">
        <f t="shared" ref="G83:G88" si="22">G66</f>
        <v>1.4</v>
      </c>
      <c r="H83" s="727"/>
      <c r="I83" s="733"/>
      <c r="J83" s="729">
        <f t="shared" ref="J83:J89" si="23">TRUNC(D83*E83*F83*G83,3)</f>
        <v>0</v>
      </c>
      <c r="K83" s="729">
        <f t="shared" si="18"/>
        <v>0</v>
      </c>
      <c r="L83" s="708">
        <f t="shared" si="19"/>
        <v>0</v>
      </c>
    </row>
    <row r="84" spans="1:14" ht="15" x14ac:dyDescent="0.2">
      <c r="A84" s="731" t="s">
        <v>461</v>
      </c>
      <c r="B84" s="732" t="str">
        <f t="shared" si="16"/>
        <v>Poço de Visita - Coletor de Ø120</v>
      </c>
      <c r="C84" s="705" t="str">
        <f t="shared" si="16"/>
        <v>und</v>
      </c>
      <c r="D84" s="730">
        <f t="shared" si="16"/>
        <v>0</v>
      </c>
      <c r="E84" s="730">
        <f t="shared" si="20"/>
        <v>1.7</v>
      </c>
      <c r="F84" s="730">
        <f t="shared" si="21"/>
        <v>1</v>
      </c>
      <c r="G84" s="730">
        <f t="shared" si="22"/>
        <v>1.9</v>
      </c>
      <c r="H84" s="727"/>
      <c r="I84" s="733"/>
      <c r="J84" s="729">
        <f t="shared" si="23"/>
        <v>0</v>
      </c>
      <c r="K84" s="729">
        <f t="shared" si="18"/>
        <v>0</v>
      </c>
      <c r="L84" s="708">
        <f>TRUNC(K84-J84,3)</f>
        <v>0</v>
      </c>
    </row>
    <row r="85" spans="1:14" ht="15" x14ac:dyDescent="0.2">
      <c r="A85" s="731" t="s">
        <v>462</v>
      </c>
      <c r="B85" s="732" t="str">
        <f t="shared" si="16"/>
        <v>Poço de Visita - Coletor de Ø100</v>
      </c>
      <c r="C85" s="705" t="str">
        <f t="shared" si="16"/>
        <v>und</v>
      </c>
      <c r="D85" s="730">
        <f t="shared" si="16"/>
        <v>0</v>
      </c>
      <c r="E85" s="730">
        <f t="shared" si="20"/>
        <v>1.5</v>
      </c>
      <c r="F85" s="730">
        <f t="shared" si="21"/>
        <v>0.8</v>
      </c>
      <c r="G85" s="730">
        <f t="shared" si="22"/>
        <v>1.9</v>
      </c>
      <c r="H85" s="727"/>
      <c r="I85" s="733"/>
      <c r="J85" s="729">
        <f t="shared" si="23"/>
        <v>0</v>
      </c>
      <c r="K85" s="729">
        <f t="shared" si="18"/>
        <v>0</v>
      </c>
      <c r="L85" s="708">
        <f t="shared" si="19"/>
        <v>0</v>
      </c>
    </row>
    <row r="86" spans="1:14" ht="15" x14ac:dyDescent="0.2">
      <c r="A86" s="731" t="s">
        <v>463</v>
      </c>
      <c r="B86" s="732" t="str">
        <f t="shared" si="16"/>
        <v>Poço de Visita - Coletor de Ø80</v>
      </c>
      <c r="C86" s="705" t="str">
        <f t="shared" si="16"/>
        <v>und</v>
      </c>
      <c r="D86" s="730">
        <f t="shared" si="16"/>
        <v>0</v>
      </c>
      <c r="E86" s="730">
        <f t="shared" si="20"/>
        <v>1.4</v>
      </c>
      <c r="F86" s="730">
        <f t="shared" si="21"/>
        <v>0.5</v>
      </c>
      <c r="G86" s="730">
        <f t="shared" si="22"/>
        <v>1.9</v>
      </c>
      <c r="H86" s="727"/>
      <c r="I86" s="733"/>
      <c r="J86" s="729">
        <f t="shared" si="23"/>
        <v>0</v>
      </c>
      <c r="K86" s="729">
        <f t="shared" si="18"/>
        <v>0</v>
      </c>
      <c r="L86" s="708">
        <f t="shared" si="19"/>
        <v>0</v>
      </c>
    </row>
    <row r="87" spans="1:14" ht="15" x14ac:dyDescent="0.2">
      <c r="A87" s="731" t="s">
        <v>464</v>
      </c>
      <c r="B87" s="732" t="str">
        <f t="shared" si="16"/>
        <v>Poço de Visita - Coletor de Ø60</v>
      </c>
      <c r="C87" s="705" t="str">
        <f t="shared" si="16"/>
        <v>und</v>
      </c>
      <c r="D87" s="730">
        <f t="shared" si="16"/>
        <v>0</v>
      </c>
      <c r="E87" s="730">
        <f t="shared" si="20"/>
        <v>1.3</v>
      </c>
      <c r="F87" s="730">
        <f t="shared" si="21"/>
        <v>0.3</v>
      </c>
      <c r="G87" s="730">
        <f t="shared" si="22"/>
        <v>1.9</v>
      </c>
      <c r="H87" s="727"/>
      <c r="I87" s="733"/>
      <c r="J87" s="729">
        <f t="shared" si="23"/>
        <v>0</v>
      </c>
      <c r="K87" s="729">
        <f t="shared" si="18"/>
        <v>0</v>
      </c>
      <c r="L87" s="708">
        <f t="shared" si="19"/>
        <v>0</v>
      </c>
    </row>
    <row r="88" spans="1:14" ht="15" x14ac:dyDescent="0.2">
      <c r="A88" s="731" t="s">
        <v>465</v>
      </c>
      <c r="B88" s="732" t="str">
        <f t="shared" si="16"/>
        <v>Caixa Coletora</v>
      </c>
      <c r="C88" s="705" t="str">
        <f t="shared" si="16"/>
        <v>und</v>
      </c>
      <c r="D88" s="730">
        <f t="shared" si="16"/>
        <v>0</v>
      </c>
      <c r="E88" s="730">
        <f t="shared" si="20"/>
        <v>1.5</v>
      </c>
      <c r="F88" s="730">
        <f t="shared" si="21"/>
        <v>1</v>
      </c>
      <c r="G88" s="730">
        <f t="shared" si="22"/>
        <v>1.9</v>
      </c>
      <c r="H88" s="727"/>
      <c r="I88" s="733"/>
      <c r="J88" s="729">
        <f t="shared" si="23"/>
        <v>0</v>
      </c>
      <c r="K88" s="729">
        <f t="shared" si="18"/>
        <v>0</v>
      </c>
      <c r="L88" s="708">
        <f t="shared" si="19"/>
        <v>0</v>
      </c>
    </row>
    <row r="89" spans="1:14" ht="15" x14ac:dyDescent="0.2">
      <c r="A89" s="731" t="s">
        <v>509</v>
      </c>
      <c r="B89" s="732" t="str">
        <f t="shared" si="16"/>
        <v>Dissipador de energia</v>
      </c>
      <c r="C89" s="705" t="str">
        <f t="shared" si="16"/>
        <v>und</v>
      </c>
      <c r="D89" s="730">
        <f t="shared" si="16"/>
        <v>0</v>
      </c>
      <c r="E89" s="730"/>
      <c r="F89" s="730"/>
      <c r="G89" s="730"/>
      <c r="H89" s="727"/>
      <c r="I89" s="733"/>
      <c r="J89" s="729">
        <f t="shared" si="23"/>
        <v>0</v>
      </c>
      <c r="K89" s="729">
        <f t="shared" si="18"/>
        <v>0</v>
      </c>
      <c r="L89" s="708">
        <f t="shared" si="19"/>
        <v>0</v>
      </c>
    </row>
    <row r="90" spans="1:14" ht="15" x14ac:dyDescent="0.2">
      <c r="A90" s="731"/>
      <c r="B90" s="732"/>
      <c r="C90" s="705"/>
      <c r="D90" s="730"/>
      <c r="E90" s="730"/>
      <c r="F90" s="730"/>
      <c r="G90" s="730"/>
      <c r="H90" s="727"/>
      <c r="I90" s="733"/>
      <c r="J90" s="727"/>
      <c r="K90" s="734"/>
      <c r="L90" s="735"/>
    </row>
    <row r="91" spans="1:14" ht="14.25" x14ac:dyDescent="0.2">
      <c r="A91" s="736" t="s">
        <v>466</v>
      </c>
      <c r="B91" s="1058" t="s">
        <v>54</v>
      </c>
      <c r="C91" s="1058"/>
      <c r="D91" s="1058"/>
      <c r="E91" s="1058"/>
      <c r="F91" s="1058"/>
      <c r="G91" s="1058"/>
      <c r="H91" s="1058"/>
      <c r="I91" s="1058"/>
      <c r="J91" s="737" t="s">
        <v>5</v>
      </c>
      <c r="K91" s="1050">
        <f>SUM(L92:L98)</f>
        <v>0</v>
      </c>
      <c r="L91" s="1051"/>
    </row>
    <row r="92" spans="1:14" ht="15" x14ac:dyDescent="0.2">
      <c r="A92" s="736" t="s">
        <v>0</v>
      </c>
      <c r="B92" s="737" t="s">
        <v>137</v>
      </c>
      <c r="C92" s="737" t="s">
        <v>2</v>
      </c>
      <c r="D92" s="737" t="s">
        <v>3</v>
      </c>
      <c r="E92" s="1053" t="s">
        <v>467</v>
      </c>
      <c r="F92" s="1053"/>
      <c r="G92" s="1053"/>
      <c r="H92" s="737"/>
      <c r="I92" s="737"/>
      <c r="J92" s="738"/>
      <c r="K92" s="1059" t="s">
        <v>13</v>
      </c>
      <c r="L92" s="1060"/>
    </row>
    <row r="93" spans="1:14" ht="15" x14ac:dyDescent="0.2">
      <c r="A93" s="441" t="s">
        <v>454</v>
      </c>
      <c r="B93" s="704" t="s">
        <v>76</v>
      </c>
      <c r="C93" s="705" t="s">
        <v>5</v>
      </c>
      <c r="D93" s="706">
        <f t="shared" ref="D93:D98" si="24">D10</f>
        <v>0</v>
      </c>
      <c r="E93" s="1061">
        <v>4</v>
      </c>
      <c r="F93" s="1061"/>
      <c r="G93" s="1061"/>
      <c r="H93" s="707"/>
      <c r="I93" s="707"/>
      <c r="J93" s="707"/>
      <c r="K93" s="707"/>
      <c r="L93" s="721">
        <f t="shared" ref="L93:L98" si="25">D93/E93</f>
        <v>0</v>
      </c>
    </row>
    <row r="94" spans="1:14" ht="15" x14ac:dyDescent="0.2">
      <c r="A94" s="441" t="s">
        <v>455</v>
      </c>
      <c r="B94" s="704" t="s">
        <v>77</v>
      </c>
      <c r="C94" s="705" t="s">
        <v>5</v>
      </c>
      <c r="D94" s="706">
        <f t="shared" si="24"/>
        <v>0</v>
      </c>
      <c r="E94" s="1061">
        <f>E93</f>
        <v>4</v>
      </c>
      <c r="F94" s="1061"/>
      <c r="G94" s="1061"/>
      <c r="H94" s="707"/>
      <c r="I94" s="707"/>
      <c r="J94" s="707"/>
      <c r="K94" s="707"/>
      <c r="L94" s="721">
        <f t="shared" si="25"/>
        <v>0</v>
      </c>
    </row>
    <row r="95" spans="1:14" ht="15" x14ac:dyDescent="0.2">
      <c r="A95" s="441" t="s">
        <v>456</v>
      </c>
      <c r="B95" s="709" t="s">
        <v>81</v>
      </c>
      <c r="C95" s="670" t="s">
        <v>5</v>
      </c>
      <c r="D95" s="706">
        <f t="shared" si="24"/>
        <v>0</v>
      </c>
      <c r="E95" s="1061">
        <f>E94</f>
        <v>4</v>
      </c>
      <c r="F95" s="1061"/>
      <c r="G95" s="1061"/>
      <c r="H95" s="707"/>
      <c r="I95" s="707"/>
      <c r="J95" s="707"/>
      <c r="K95" s="707"/>
      <c r="L95" s="721">
        <f t="shared" si="25"/>
        <v>0</v>
      </c>
    </row>
    <row r="96" spans="1:14" ht="15" x14ac:dyDescent="0.2">
      <c r="A96" s="441" t="s">
        <v>457</v>
      </c>
      <c r="B96" s="709" t="s">
        <v>82</v>
      </c>
      <c r="C96" s="670" t="s">
        <v>5</v>
      </c>
      <c r="D96" s="706">
        <f t="shared" si="24"/>
        <v>0</v>
      </c>
      <c r="E96" s="1061">
        <f>E95</f>
        <v>4</v>
      </c>
      <c r="F96" s="1061"/>
      <c r="G96" s="1061"/>
      <c r="H96" s="707"/>
      <c r="I96" s="707"/>
      <c r="J96" s="707"/>
      <c r="K96" s="707"/>
      <c r="L96" s="721">
        <f t="shared" si="25"/>
        <v>0</v>
      </c>
      <c r="M96" s="1"/>
      <c r="N96" s="1"/>
    </row>
    <row r="97" spans="1:14" ht="15" x14ac:dyDescent="0.2">
      <c r="A97" s="441" t="s">
        <v>458</v>
      </c>
      <c r="B97" s="704" t="s">
        <v>83</v>
      </c>
      <c r="C97" s="705" t="s">
        <v>5</v>
      </c>
      <c r="D97" s="706">
        <f t="shared" si="24"/>
        <v>0</v>
      </c>
      <c r="E97" s="1061">
        <f>E96</f>
        <v>4</v>
      </c>
      <c r="F97" s="1061"/>
      <c r="G97" s="1061"/>
      <c r="H97" s="707"/>
      <c r="I97" s="707"/>
      <c r="J97" s="707"/>
      <c r="K97" s="707"/>
      <c r="L97" s="721">
        <f t="shared" si="25"/>
        <v>0</v>
      </c>
      <c r="M97" s="14"/>
      <c r="N97" s="1"/>
    </row>
    <row r="98" spans="1:14" ht="15.75" thickBot="1" x14ac:dyDescent="0.25">
      <c r="A98" s="740" t="s">
        <v>459</v>
      </c>
      <c r="B98" s="741" t="s">
        <v>84</v>
      </c>
      <c r="C98" s="742" t="s">
        <v>5</v>
      </c>
      <c r="D98" s="743">
        <f t="shared" si="24"/>
        <v>0</v>
      </c>
      <c r="E98" s="1062">
        <f>E97</f>
        <v>4</v>
      </c>
      <c r="F98" s="1062"/>
      <c r="G98" s="1062"/>
      <c r="H98" s="744"/>
      <c r="I98" s="744"/>
      <c r="J98" s="744"/>
      <c r="K98" s="744"/>
      <c r="L98" s="745">
        <f t="shared" si="25"/>
        <v>0</v>
      </c>
      <c r="M98" s="15"/>
      <c r="N98" s="1"/>
    </row>
    <row r="99" spans="1:14" ht="15" x14ac:dyDescent="0.2">
      <c r="A99" s="296"/>
      <c r="B99" s="296"/>
      <c r="C99" s="296"/>
      <c r="D99" s="296"/>
      <c r="E99" s="296"/>
      <c r="F99" s="296"/>
      <c r="G99" s="296"/>
      <c r="H99" s="296"/>
      <c r="I99" s="296"/>
      <c r="J99" s="296"/>
      <c r="K99" s="296"/>
      <c r="L99" s="296"/>
    </row>
    <row r="100" spans="1:14" ht="15" x14ac:dyDescent="0.2">
      <c r="A100" s="296"/>
      <c r="B100" s="297" t="str">
        <f>Terrap.!B20</f>
        <v xml:space="preserve">Vinicius Ferreira Fava </v>
      </c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</row>
    <row r="101" spans="1:14" ht="15" x14ac:dyDescent="0.2">
      <c r="A101" s="296"/>
      <c r="B101" s="296" t="str">
        <f>Terrap.!B21</f>
        <v>ENGº CIVIL</v>
      </c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</row>
  </sheetData>
  <mergeCells count="48">
    <mergeCell ref="E94:G94"/>
    <mergeCell ref="E95:G95"/>
    <mergeCell ref="E96:G96"/>
    <mergeCell ref="E97:G97"/>
    <mergeCell ref="E98:G98"/>
    <mergeCell ref="B91:I91"/>
    <mergeCell ref="K91:L91"/>
    <mergeCell ref="E92:G92"/>
    <mergeCell ref="K92:L92"/>
    <mergeCell ref="E93:G93"/>
    <mergeCell ref="B74:I74"/>
    <mergeCell ref="K74:L74"/>
    <mergeCell ref="A75:A76"/>
    <mergeCell ref="B75:B76"/>
    <mergeCell ref="C75:C76"/>
    <mergeCell ref="D75:D76"/>
    <mergeCell ref="E75:G75"/>
    <mergeCell ref="H75:I76"/>
    <mergeCell ref="J75:J76"/>
    <mergeCell ref="K75:K76"/>
    <mergeCell ref="L75:L76"/>
    <mergeCell ref="B43:I43"/>
    <mergeCell ref="K43:L43"/>
    <mergeCell ref="B57:I57"/>
    <mergeCell ref="K57:L57"/>
    <mergeCell ref="A58:A59"/>
    <mergeCell ref="B58:B59"/>
    <mergeCell ref="C58:C59"/>
    <mergeCell ref="D58:D59"/>
    <mergeCell ref="E58:G58"/>
    <mergeCell ref="H58:I59"/>
    <mergeCell ref="J58:J59"/>
    <mergeCell ref="K58:K59"/>
    <mergeCell ref="L58:L59"/>
    <mergeCell ref="B9:I9"/>
    <mergeCell ref="K9:L9"/>
    <mergeCell ref="B23:I23"/>
    <mergeCell ref="K23:L23"/>
    <mergeCell ref="B37:G37"/>
    <mergeCell ref="A7:L7"/>
    <mergeCell ref="A1:L1"/>
    <mergeCell ref="A2:L2"/>
    <mergeCell ref="B3:L3"/>
    <mergeCell ref="G5:I5"/>
    <mergeCell ref="J4:L6"/>
    <mergeCell ref="B4:I4"/>
    <mergeCell ref="B5:E5"/>
    <mergeCell ref="B6:E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T28"/>
  <sheetViews>
    <sheetView view="pageBreakPreview" topLeftCell="A7" zoomScale="70" zoomScaleSheetLayoutView="70" workbookViewId="0">
      <selection activeCell="E33" sqref="E33"/>
    </sheetView>
  </sheetViews>
  <sheetFormatPr defaultRowHeight="12.75" x14ac:dyDescent="0.2"/>
  <cols>
    <col min="1" max="1" width="12.42578125" style="108" customWidth="1"/>
    <col min="2" max="2" width="45.140625" style="108" customWidth="1"/>
    <col min="3" max="3" width="17.140625" style="108" bestFit="1" customWidth="1"/>
    <col min="4" max="4" width="9.28515625" style="108" bestFit="1" customWidth="1"/>
    <col min="5" max="5" width="16" style="108" customWidth="1"/>
    <col min="6" max="6" width="9.42578125" style="108" customWidth="1"/>
    <col min="7" max="7" width="16" style="108" customWidth="1"/>
    <col min="8" max="8" width="9.42578125" style="108" customWidth="1"/>
    <col min="9" max="9" width="16" style="108" customWidth="1"/>
    <col min="10" max="10" width="9.42578125" style="108" customWidth="1"/>
    <col min="11" max="11" width="16" style="108" customWidth="1"/>
    <col min="12" max="12" width="9.42578125" style="108" customWidth="1"/>
    <col min="13" max="13" width="16" style="108" customWidth="1"/>
    <col min="14" max="14" width="9.42578125" style="108" customWidth="1"/>
    <col min="15" max="15" width="12.7109375" style="108" bestFit="1" customWidth="1"/>
    <col min="16" max="16" width="9.42578125" style="108" customWidth="1"/>
    <col min="17" max="17" width="16" style="108" customWidth="1"/>
    <col min="18" max="18" width="9.42578125" style="108" customWidth="1"/>
    <col min="19" max="19" width="9.140625" style="108"/>
    <col min="20" max="20" width="9.28515625" style="108" bestFit="1" customWidth="1"/>
    <col min="21" max="16384" width="9.140625" style="108"/>
  </cols>
  <sheetData>
    <row r="1" spans="1:20" ht="15.75" x14ac:dyDescent="0.2">
      <c r="A1" s="1422" t="str">
        <f>Terrap.!A1</f>
        <v>ESTADO DE MATO GROSSO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1423"/>
      <c r="M1" s="1423"/>
      <c r="N1" s="1423"/>
      <c r="O1" s="1423"/>
      <c r="P1" s="1423"/>
      <c r="Q1" s="1423"/>
      <c r="R1" s="1424"/>
    </row>
    <row r="2" spans="1:20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425"/>
    </row>
    <row r="3" spans="1:20" ht="24.75" customHeight="1" x14ac:dyDescent="0.2">
      <c r="A3" s="791" t="s">
        <v>56</v>
      </c>
      <c r="B3" s="794" t="str">
        <f>Terrap.!B3</f>
        <v>PAVIMENTAÇÃO ASFALTICA E DRENAGEM DE AGUAS PLUVIAIS</v>
      </c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6"/>
      <c r="P3" s="1426" t="str">
        <f>Terrap.!I3</f>
        <v>SINAPI - MARÇO / 2020                                                                                                                               ANP - NOV/2019 (desonerado) SICRO OUT/2019</v>
      </c>
      <c r="Q3" s="1427"/>
      <c r="R3" s="1428"/>
    </row>
    <row r="4" spans="1:20" ht="24.75" customHeight="1" x14ac:dyDescent="0.2">
      <c r="A4" s="791" t="s">
        <v>57</v>
      </c>
      <c r="B4" s="794" t="str">
        <f>Terrap.!B4</f>
        <v>DIVERSAS RUAS - PERIMETRO URBANO</v>
      </c>
      <c r="C4" s="795"/>
      <c r="D4" s="795"/>
      <c r="E4" s="795"/>
      <c r="F4" s="795"/>
      <c r="G4" s="795"/>
      <c r="H4" s="795"/>
      <c r="I4" s="795"/>
      <c r="J4" s="795"/>
      <c r="K4" s="795"/>
      <c r="L4" s="792"/>
      <c r="M4" s="792"/>
      <c r="N4" s="792"/>
      <c r="O4" s="793"/>
      <c r="P4" s="1429"/>
      <c r="Q4" s="1020"/>
      <c r="R4" s="1021"/>
    </row>
    <row r="5" spans="1:20" ht="24.75" customHeight="1" x14ac:dyDescent="0.2">
      <c r="A5" s="791" t="s">
        <v>58</v>
      </c>
      <c r="B5" s="794" t="str">
        <f>Terrap.!B5</f>
        <v xml:space="preserve">PREFEITURA MUNICIPAL DE BARRA DO BUGRES </v>
      </c>
      <c r="C5" s="795"/>
      <c r="D5" s="795"/>
      <c r="E5" s="795"/>
      <c r="F5" s="795"/>
      <c r="G5" s="795"/>
      <c r="H5" s="795"/>
      <c r="I5" s="795"/>
      <c r="J5" s="795"/>
      <c r="K5" s="796"/>
      <c r="L5" s="797" t="s">
        <v>370</v>
      </c>
      <c r="M5" s="1430" t="str">
        <f>Terrap.!F5</f>
        <v>maio 2020</v>
      </c>
      <c r="N5" s="1431"/>
      <c r="O5" s="1432"/>
      <c r="P5" s="1020"/>
      <c r="Q5" s="1020"/>
      <c r="R5" s="1021"/>
    </row>
    <row r="6" spans="1:20" ht="24.75" customHeight="1" thickBot="1" x14ac:dyDescent="0.25">
      <c r="A6" s="798" t="s">
        <v>59</v>
      </c>
      <c r="B6" s="800">
        <f>Pavim.!B6</f>
        <v>7896.8</v>
      </c>
      <c r="C6" s="801"/>
      <c r="D6" s="801"/>
      <c r="E6" s="801"/>
      <c r="F6" s="801"/>
      <c r="G6" s="801"/>
      <c r="H6" s="801"/>
      <c r="I6" s="801"/>
      <c r="J6" s="801"/>
      <c r="K6" s="802"/>
      <c r="L6" s="799" t="s">
        <v>60</v>
      </c>
      <c r="M6" s="778">
        <f>Terrap.!F6</f>
        <v>0.26740000000000003</v>
      </c>
      <c r="N6" s="695" t="s">
        <v>61</v>
      </c>
      <c r="O6" s="695"/>
      <c r="P6" s="1022"/>
      <c r="Q6" s="1022"/>
      <c r="R6" s="1023"/>
    </row>
    <row r="7" spans="1:20" ht="33" customHeight="1" thickBot="1" x14ac:dyDescent="0.25">
      <c r="A7" s="1435" t="s">
        <v>9</v>
      </c>
      <c r="B7" s="1436"/>
      <c r="C7" s="1436"/>
      <c r="D7" s="1436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4"/>
    </row>
    <row r="8" spans="1:20" x14ac:dyDescent="0.2">
      <c r="A8" s="1412" t="s">
        <v>0</v>
      </c>
      <c r="B8" s="1415" t="s">
        <v>10</v>
      </c>
      <c r="C8" s="1415" t="s">
        <v>11</v>
      </c>
      <c r="D8" s="1415"/>
      <c r="E8" s="1418" t="s">
        <v>12</v>
      </c>
      <c r="F8" s="1418"/>
      <c r="G8" s="1418"/>
      <c r="H8" s="1418"/>
      <c r="I8" s="1418"/>
      <c r="J8" s="1418"/>
      <c r="K8" s="1418"/>
      <c r="L8" s="1418"/>
      <c r="M8" s="1418"/>
      <c r="N8" s="1418"/>
      <c r="O8" s="1418"/>
      <c r="P8" s="1418"/>
      <c r="Q8" s="1418"/>
      <c r="R8" s="1419"/>
    </row>
    <row r="9" spans="1:20" x14ac:dyDescent="0.2">
      <c r="A9" s="1413"/>
      <c r="B9" s="1416"/>
      <c r="C9" s="1416"/>
      <c r="D9" s="1416"/>
      <c r="E9" s="1420" t="s">
        <v>269</v>
      </c>
      <c r="F9" s="1420"/>
      <c r="G9" s="1420" t="s">
        <v>264</v>
      </c>
      <c r="H9" s="1420"/>
      <c r="I9" s="1420" t="s">
        <v>270</v>
      </c>
      <c r="J9" s="1420"/>
      <c r="K9" s="1420" t="s">
        <v>265</v>
      </c>
      <c r="L9" s="1420"/>
      <c r="M9" s="1420" t="s">
        <v>271</v>
      </c>
      <c r="N9" s="1420"/>
      <c r="O9" s="1420" t="s">
        <v>273</v>
      </c>
      <c r="P9" s="1420"/>
      <c r="Q9" s="1420" t="s">
        <v>13</v>
      </c>
      <c r="R9" s="1421"/>
    </row>
    <row r="10" spans="1:20" x14ac:dyDescent="0.2">
      <c r="A10" s="1414"/>
      <c r="B10" s="1417"/>
      <c r="C10" s="601" t="s">
        <v>14</v>
      </c>
      <c r="D10" s="602" t="s">
        <v>15</v>
      </c>
      <c r="E10" s="601" t="s">
        <v>14</v>
      </c>
      <c r="F10" s="602" t="s">
        <v>15</v>
      </c>
      <c r="G10" s="603" t="s">
        <v>16</v>
      </c>
      <c r="H10" s="604" t="s">
        <v>15</v>
      </c>
      <c r="I10" s="603" t="s">
        <v>16</v>
      </c>
      <c r="J10" s="604" t="s">
        <v>15</v>
      </c>
      <c r="K10" s="603" t="s">
        <v>16</v>
      </c>
      <c r="L10" s="604" t="s">
        <v>15</v>
      </c>
      <c r="M10" s="603" t="s">
        <v>16</v>
      </c>
      <c r="N10" s="604" t="s">
        <v>15</v>
      </c>
      <c r="O10" s="603" t="s">
        <v>16</v>
      </c>
      <c r="P10" s="604" t="s">
        <v>15</v>
      </c>
      <c r="Q10" s="603" t="s">
        <v>16</v>
      </c>
      <c r="R10" s="605" t="s">
        <v>15</v>
      </c>
    </row>
    <row r="11" spans="1:20" s="343" customFormat="1" x14ac:dyDescent="0.2">
      <c r="A11" s="591"/>
      <c r="B11" s="606"/>
      <c r="C11" s="607"/>
      <c r="D11" s="608"/>
      <c r="E11" s="609"/>
      <c r="F11" s="610"/>
      <c r="G11" s="609"/>
      <c r="H11" s="611"/>
      <c r="I11" s="609"/>
      <c r="J11" s="610"/>
      <c r="K11" s="609"/>
      <c r="L11" s="610"/>
      <c r="M11" s="609"/>
      <c r="N11" s="610"/>
      <c r="O11" s="609"/>
      <c r="P11" s="610"/>
      <c r="Q11" s="609"/>
      <c r="R11" s="612"/>
      <c r="T11" s="340"/>
    </row>
    <row r="12" spans="1:20" s="300" customFormat="1" ht="23.25" customHeight="1" x14ac:dyDescent="0.2">
      <c r="A12" s="591">
        <f>Resumo!A10</f>
        <v>1</v>
      </c>
      <c r="B12" s="606" t="str">
        <f>Resumo!B10</f>
        <v>SERVIÇOS PRELIMINARES</v>
      </c>
      <c r="C12" s="607">
        <f>Resumo!E10</f>
        <v>9369.31</v>
      </c>
      <c r="D12" s="608">
        <f>Resumo!F10</f>
        <v>1.47E-2</v>
      </c>
      <c r="E12" s="607">
        <f>$C12*F12/100</f>
        <v>7495.45</v>
      </c>
      <c r="F12" s="620">
        <v>80</v>
      </c>
      <c r="G12" s="607">
        <f>$C12*H12/100</f>
        <v>1873.86</v>
      </c>
      <c r="H12" s="790">
        <v>20</v>
      </c>
      <c r="I12" s="607"/>
      <c r="J12" s="620"/>
      <c r="K12" s="607"/>
      <c r="L12" s="620"/>
      <c r="M12" s="607"/>
      <c r="N12" s="620"/>
      <c r="O12" s="607"/>
      <c r="P12" s="620"/>
      <c r="Q12" s="613">
        <f>E12+G12+I12+K12+M12+O12</f>
        <v>9369.31</v>
      </c>
      <c r="R12" s="612">
        <f>F12+H12+J12+L12+N12+P12</f>
        <v>100</v>
      </c>
    </row>
    <row r="13" spans="1:20" s="341" customFormat="1" ht="23.25" customHeight="1" x14ac:dyDescent="0.2">
      <c r="A13" s="591"/>
      <c r="B13" s="606"/>
      <c r="C13" s="607"/>
      <c r="D13" s="608"/>
      <c r="E13" s="613"/>
      <c r="F13" s="614"/>
      <c r="G13" s="616"/>
      <c r="H13" s="617"/>
      <c r="I13" s="616"/>
      <c r="J13" s="614"/>
      <c r="K13" s="613"/>
      <c r="L13" s="614"/>
      <c r="M13" s="613"/>
      <c r="N13" s="614"/>
      <c r="O13" s="613"/>
      <c r="P13" s="614"/>
      <c r="Q13" s="613"/>
      <c r="R13" s="612"/>
      <c r="T13" s="340">
        <f t="shared" ref="T13:T20" si="0">C13-Q13</f>
        <v>0</v>
      </c>
    </row>
    <row r="14" spans="1:20" s="343" customFormat="1" ht="23.25" customHeight="1" x14ac:dyDescent="0.2">
      <c r="A14" s="591">
        <f>Resumo!A12</f>
        <v>2</v>
      </c>
      <c r="B14" s="606" t="str">
        <f>Resumo!B12</f>
        <v>ADMINISTRAÇÃO DE CANTEIRO DE OBRA</v>
      </c>
      <c r="C14" s="607">
        <f>Resumo!E12</f>
        <v>25825.8</v>
      </c>
      <c r="D14" s="608">
        <f>Resumo!F12</f>
        <v>4.0500000000000001E-2</v>
      </c>
      <c r="E14" s="613">
        <f>$C14*F14/100</f>
        <v>3873.87</v>
      </c>
      <c r="F14" s="614">
        <v>15</v>
      </c>
      <c r="G14" s="613">
        <f>$C14*H14/100</f>
        <v>3873.87</v>
      </c>
      <c r="H14" s="614">
        <v>15</v>
      </c>
      <c r="I14" s="613">
        <f>$C14*J14/100</f>
        <v>3873.87</v>
      </c>
      <c r="J14" s="614">
        <v>15</v>
      </c>
      <c r="K14" s="613">
        <f>$C14*L14/100</f>
        <v>3873.87</v>
      </c>
      <c r="L14" s="614">
        <v>15</v>
      </c>
      <c r="M14" s="613">
        <f>$C14*N14/100</f>
        <v>5165.16</v>
      </c>
      <c r="N14" s="614">
        <v>20</v>
      </c>
      <c r="O14" s="613">
        <f>$C14*P14/100-0.01</f>
        <v>5165.1499999999996</v>
      </c>
      <c r="P14" s="614">
        <v>20</v>
      </c>
      <c r="Q14" s="613">
        <f>E14+G14+I14+K14+M14+O14</f>
        <v>25825.79</v>
      </c>
      <c r="R14" s="612">
        <f>F14+H14+J14+L14+N14+P14</f>
        <v>100</v>
      </c>
      <c r="T14" s="340">
        <f t="shared" si="0"/>
        <v>0.01</v>
      </c>
    </row>
    <row r="15" spans="1:20" s="343" customFormat="1" ht="23.25" customHeight="1" x14ac:dyDescent="0.2">
      <c r="A15" s="595"/>
      <c r="B15" s="618"/>
      <c r="C15" s="607"/>
      <c r="D15" s="608"/>
      <c r="E15" s="613"/>
      <c r="F15" s="614"/>
      <c r="G15" s="613"/>
      <c r="H15" s="617"/>
      <c r="I15" s="613"/>
      <c r="J15" s="614"/>
      <c r="K15" s="613"/>
      <c r="L15" s="614"/>
      <c r="M15" s="613"/>
      <c r="N15" s="614"/>
      <c r="O15" s="613"/>
      <c r="P15" s="614"/>
      <c r="Q15" s="613"/>
      <c r="R15" s="612"/>
      <c r="T15" s="340">
        <f t="shared" si="0"/>
        <v>0</v>
      </c>
    </row>
    <row r="16" spans="1:20" s="300" customFormat="1" ht="23.25" customHeight="1" x14ac:dyDescent="0.2">
      <c r="A16" s="591">
        <f>Resumo!A14</f>
        <v>3</v>
      </c>
      <c r="B16" s="606" t="str">
        <f>Resumo!B14</f>
        <v>PAVIMENTAÇÃO EM TSD</v>
      </c>
      <c r="C16" s="607"/>
      <c r="D16" s="608"/>
      <c r="E16" s="609"/>
      <c r="F16" s="610"/>
      <c r="G16" s="609"/>
      <c r="H16" s="615"/>
      <c r="I16" s="609"/>
      <c r="J16" s="610"/>
      <c r="K16" s="609"/>
      <c r="L16" s="610"/>
      <c r="M16" s="609"/>
      <c r="N16" s="610"/>
      <c r="O16" s="609"/>
      <c r="P16" s="610"/>
      <c r="Q16" s="609"/>
      <c r="R16" s="612"/>
      <c r="T16" s="340">
        <f t="shared" si="0"/>
        <v>0</v>
      </c>
    </row>
    <row r="17" spans="1:20" s="382" customFormat="1" ht="23.25" customHeight="1" x14ac:dyDescent="0.2">
      <c r="A17" s="619" t="str">
        <f>Resumo!A15</f>
        <v>3.1</v>
      </c>
      <c r="B17" s="622" t="str">
        <f>Resumo!B15</f>
        <v>TERRAPLENAGEM</v>
      </c>
      <c r="C17" s="607">
        <f>Resumo!E15</f>
        <v>14314.01</v>
      </c>
      <c r="D17" s="608">
        <f>Resumo!F15</f>
        <v>2.24E-2</v>
      </c>
      <c r="E17" s="613">
        <f>$C17*F17/100</f>
        <v>7157.01</v>
      </c>
      <c r="F17" s="614">
        <v>50</v>
      </c>
      <c r="G17" s="613">
        <f>$C17*H17/100-0.01</f>
        <v>7157</v>
      </c>
      <c r="H17" s="614">
        <v>50</v>
      </c>
      <c r="I17" s="613">
        <f>$C17*J17/100</f>
        <v>0</v>
      </c>
      <c r="J17" s="614"/>
      <c r="K17" s="613">
        <f>$C17*L17/100</f>
        <v>0</v>
      </c>
      <c r="L17" s="614"/>
      <c r="M17" s="613">
        <f>$C17*N17/100</f>
        <v>0</v>
      </c>
      <c r="N17" s="614"/>
      <c r="O17" s="613">
        <f>$C17*P17/100</f>
        <v>0</v>
      </c>
      <c r="P17" s="620"/>
      <c r="Q17" s="613">
        <f t="shared" ref="Q17:R20" si="1">E17+G17+I17+K17+M17+O17</f>
        <v>14314.01</v>
      </c>
      <c r="R17" s="612">
        <f t="shared" si="1"/>
        <v>100</v>
      </c>
      <c r="T17" s="414">
        <f t="shared" si="0"/>
        <v>0</v>
      </c>
    </row>
    <row r="18" spans="1:20" s="382" customFormat="1" ht="23.25" customHeight="1" x14ac:dyDescent="0.2">
      <c r="A18" s="619" t="str">
        <f>Resumo!A16</f>
        <v>3.2</v>
      </c>
      <c r="B18" s="622" t="str">
        <f>Resumo!B16</f>
        <v>PAVIMENTAÇÃO</v>
      </c>
      <c r="C18" s="607">
        <f>Resumo!E16</f>
        <v>292181.25</v>
      </c>
      <c r="D18" s="608">
        <f>Resumo!F16</f>
        <v>0.45789999999999997</v>
      </c>
      <c r="E18" s="613">
        <f>$C18*F18/100</f>
        <v>87654.38</v>
      </c>
      <c r="F18" s="614">
        <v>30</v>
      </c>
      <c r="G18" s="613">
        <f>$C18*H18/100</f>
        <v>146090.63</v>
      </c>
      <c r="H18" s="614">
        <v>50</v>
      </c>
      <c r="I18" s="613">
        <f>$C18*J18/100</f>
        <v>58436.25</v>
      </c>
      <c r="J18" s="614">
        <v>20</v>
      </c>
      <c r="K18" s="613">
        <f>$C18*L18/100</f>
        <v>0</v>
      </c>
      <c r="L18" s="614"/>
      <c r="M18" s="613">
        <f>$C18*N18/100</f>
        <v>0</v>
      </c>
      <c r="N18" s="614"/>
      <c r="O18" s="613">
        <f>$C18*P18/100</f>
        <v>0</v>
      </c>
      <c r="P18" s="620"/>
      <c r="Q18" s="613">
        <f t="shared" si="1"/>
        <v>292181.26</v>
      </c>
      <c r="R18" s="612">
        <f t="shared" si="1"/>
        <v>100</v>
      </c>
      <c r="T18" s="414">
        <f t="shared" si="0"/>
        <v>-0.01</v>
      </c>
    </row>
    <row r="19" spans="1:20" s="893" customFormat="1" ht="23.25" customHeight="1" x14ac:dyDescent="0.2">
      <c r="A19" s="891" t="str">
        <f>Resumo!A17</f>
        <v>3.3</v>
      </c>
      <c r="B19" s="621" t="str">
        <f>Resumo!B17</f>
        <v>OBRAS COMPLEMENTARES</v>
      </c>
      <c r="C19" s="892">
        <f>Resumo!E17</f>
        <v>281377.24</v>
      </c>
      <c r="D19" s="608">
        <f>Resumo!F17</f>
        <v>0</v>
      </c>
      <c r="E19" s="616">
        <f>$C19*F19/100</f>
        <v>0</v>
      </c>
      <c r="F19" s="614"/>
      <c r="G19" s="616">
        <f>$C19*H19/100</f>
        <v>0</v>
      </c>
      <c r="H19" s="614"/>
      <c r="I19" s="616">
        <f>$C19*J19/100</f>
        <v>140688.62</v>
      </c>
      <c r="J19" s="614">
        <v>50</v>
      </c>
      <c r="K19" s="616">
        <f>$C19*L19/100-0.01</f>
        <v>140688.60999999999</v>
      </c>
      <c r="L19" s="614">
        <v>50</v>
      </c>
      <c r="M19" s="616">
        <f>$C19*N19/100</f>
        <v>0</v>
      </c>
      <c r="N19" s="614"/>
      <c r="O19" s="616">
        <f>$C19*P19/100</f>
        <v>0</v>
      </c>
      <c r="P19" s="620"/>
      <c r="Q19" s="613">
        <f t="shared" si="1"/>
        <v>281377.23</v>
      </c>
      <c r="R19" s="612">
        <f t="shared" si="1"/>
        <v>100</v>
      </c>
      <c r="T19" s="894">
        <f t="shared" si="0"/>
        <v>0.01</v>
      </c>
    </row>
    <row r="20" spans="1:20" s="382" customFormat="1" ht="23.25" customHeight="1" x14ac:dyDescent="0.2">
      <c r="A20" s="619" t="str">
        <f>Resumo!A23</f>
        <v>3.4</v>
      </c>
      <c r="B20" s="622" t="str">
        <f>Resumo!B23</f>
        <v>SINALIZAÇÃO VIÁRIA</v>
      </c>
      <c r="C20" s="607">
        <f>Resumo!E23</f>
        <v>14999.02</v>
      </c>
      <c r="D20" s="608">
        <f>Resumo!F23</f>
        <v>2.35E-2</v>
      </c>
      <c r="E20" s="613">
        <f>$C20*F20/100</f>
        <v>0</v>
      </c>
      <c r="F20" s="614"/>
      <c r="G20" s="613">
        <f>$C20*H20/100</f>
        <v>0</v>
      </c>
      <c r="H20" s="614"/>
      <c r="I20" s="613">
        <f>$C20*J20/100</f>
        <v>0</v>
      </c>
      <c r="J20" s="614"/>
      <c r="K20" s="613">
        <f>$C20*L20/100</f>
        <v>0</v>
      </c>
      <c r="L20" s="614"/>
      <c r="M20" s="613">
        <f>$C20*N20/100</f>
        <v>2999.8</v>
      </c>
      <c r="N20" s="614">
        <v>20</v>
      </c>
      <c r="O20" s="613">
        <f>$C20*P20/100</f>
        <v>11999.22</v>
      </c>
      <c r="P20" s="620">
        <v>80</v>
      </c>
      <c r="Q20" s="613">
        <f t="shared" si="1"/>
        <v>14999.02</v>
      </c>
      <c r="R20" s="612">
        <f t="shared" si="1"/>
        <v>100</v>
      </c>
      <c r="T20" s="414">
        <f t="shared" si="0"/>
        <v>0</v>
      </c>
    </row>
    <row r="21" spans="1:20" s="346" customFormat="1" ht="23.25" customHeight="1" x14ac:dyDescent="0.2">
      <c r="A21" s="619"/>
      <c r="B21" s="622"/>
      <c r="C21" s="607"/>
      <c r="D21" s="608"/>
      <c r="E21" s="613"/>
      <c r="F21" s="614"/>
      <c r="G21" s="613"/>
      <c r="H21" s="614"/>
      <c r="I21" s="613"/>
      <c r="J21" s="614"/>
      <c r="K21" s="613"/>
      <c r="L21" s="614"/>
      <c r="M21" s="613"/>
      <c r="N21" s="614"/>
      <c r="O21" s="613"/>
      <c r="P21" s="620"/>
      <c r="Q21" s="613"/>
      <c r="R21" s="612"/>
    </row>
    <row r="22" spans="1:20" s="346" customFormat="1" ht="29.25" customHeight="1" x14ac:dyDescent="0.2">
      <c r="A22" s="1433" t="s">
        <v>17</v>
      </c>
      <c r="B22" s="1434"/>
      <c r="C22" s="624">
        <f>SUM(C12:C21)</f>
        <v>638066.63</v>
      </c>
      <c r="D22" s="623">
        <f>SUM(D12:D20)</f>
        <v>0.55900000000000005</v>
      </c>
      <c r="E22" s="624">
        <f>SUM(E12:E21)</f>
        <v>106180.71</v>
      </c>
      <c r="F22" s="929">
        <f>E22/$C$22</f>
        <v>0.16639999999999999</v>
      </c>
      <c r="G22" s="624">
        <f>SUM(G12:G20)</f>
        <v>158995.35999999999</v>
      </c>
      <c r="H22" s="929">
        <f>G22/$C$22</f>
        <v>0.2492</v>
      </c>
      <c r="I22" s="624">
        <f>SUM(I12:I20)</f>
        <v>202998.74</v>
      </c>
      <c r="J22" s="929">
        <f>I22/$C$22</f>
        <v>0.31809999999999999</v>
      </c>
      <c r="K22" s="624">
        <f>SUM(K12:K20)</f>
        <v>144562.48000000001</v>
      </c>
      <c r="L22" s="929">
        <f>K22/$C$22</f>
        <v>0.2266</v>
      </c>
      <c r="M22" s="624">
        <f>SUM(M12:M20)</f>
        <v>8164.96</v>
      </c>
      <c r="N22" s="929">
        <f>M22/$C$22</f>
        <v>1.2800000000000001E-2</v>
      </c>
      <c r="O22" s="624">
        <f>SUM(O12:O20)</f>
        <v>17164.37</v>
      </c>
      <c r="P22" s="928">
        <f>O22/$C$22</f>
        <v>2.7E-2</v>
      </c>
      <c r="Q22" s="624">
        <f>Q20+Q19+Q18+Q17+Q14+Q12</f>
        <v>638066.62</v>
      </c>
      <c r="R22" s="625">
        <f>Q22/$C$22</f>
        <v>1</v>
      </c>
    </row>
    <row r="23" spans="1:20" s="346" customFormat="1" ht="29.25" customHeight="1" thickBot="1" x14ac:dyDescent="0.25">
      <c r="A23" s="1410" t="s">
        <v>18</v>
      </c>
      <c r="B23" s="1411"/>
      <c r="C23" s="626"/>
      <c r="D23" s="627"/>
      <c r="E23" s="628">
        <f>SUM(E22)</f>
        <v>106180.71</v>
      </c>
      <c r="F23" s="930">
        <f>E23/C22</f>
        <v>0.16639999999999999</v>
      </c>
      <c r="G23" s="628">
        <f t="shared" ref="G23:M23" si="2">E23+G22</f>
        <v>265176.07</v>
      </c>
      <c r="H23" s="930">
        <f t="shared" si="2"/>
        <v>0.41560000000000002</v>
      </c>
      <c r="I23" s="628">
        <f t="shared" si="2"/>
        <v>468174.81</v>
      </c>
      <c r="J23" s="930">
        <f t="shared" si="2"/>
        <v>0.73370000000000002</v>
      </c>
      <c r="K23" s="628">
        <f t="shared" si="2"/>
        <v>612737.29</v>
      </c>
      <c r="L23" s="930">
        <f t="shared" si="2"/>
        <v>0.96030000000000004</v>
      </c>
      <c r="M23" s="628">
        <f t="shared" si="2"/>
        <v>620902.25</v>
      </c>
      <c r="N23" s="930">
        <f>L23+N22</f>
        <v>0.97309999999999997</v>
      </c>
      <c r="O23" s="628">
        <f>M23+O22</f>
        <v>638066.62</v>
      </c>
      <c r="P23" s="627">
        <f>N23+P22</f>
        <v>1</v>
      </c>
      <c r="Q23" s="628"/>
      <c r="R23" s="629"/>
    </row>
    <row r="25" spans="1:20" x14ac:dyDescent="0.2">
      <c r="B25" s="910" t="str">
        <f>Terrap.!B20</f>
        <v xml:space="preserve">Vinicius Ferreira Fava </v>
      </c>
    </row>
    <row r="26" spans="1:20" x14ac:dyDescent="0.2">
      <c r="B26" s="910" t="str">
        <f>Terrap.!B21</f>
        <v>ENGº CIVIL</v>
      </c>
    </row>
    <row r="27" spans="1:20" x14ac:dyDescent="0.2">
      <c r="B27" s="910" t="str">
        <f>Terrap.!B22</f>
        <v>Crea: 121.286.161-2</v>
      </c>
      <c r="C27" s="352"/>
    </row>
    <row r="28" spans="1:20" x14ac:dyDescent="0.2">
      <c r="E28" s="453"/>
      <c r="G28" s="453"/>
      <c r="I28" s="453"/>
      <c r="K28" s="453"/>
      <c r="M28" s="453"/>
    </row>
  </sheetData>
  <mergeCells count="18">
    <mergeCell ref="A1:R1"/>
    <mergeCell ref="A2:R2"/>
    <mergeCell ref="P3:R6"/>
    <mergeCell ref="M5:O5"/>
    <mergeCell ref="A22:B22"/>
    <mergeCell ref="A7:D7"/>
    <mergeCell ref="A23:B23"/>
    <mergeCell ref="A8:A10"/>
    <mergeCell ref="B8:B10"/>
    <mergeCell ref="C8:D9"/>
    <mergeCell ref="E8:R8"/>
    <mergeCell ref="E9:F9"/>
    <mergeCell ref="G9:H9"/>
    <mergeCell ref="I9:J9"/>
    <mergeCell ref="K9:L9"/>
    <mergeCell ref="M9:N9"/>
    <mergeCell ref="O9:P9"/>
    <mergeCell ref="Q9:R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T91"/>
  <sheetViews>
    <sheetView view="pageBreakPreview" topLeftCell="A58" zoomScaleSheetLayoutView="100" workbookViewId="0">
      <selection activeCell="E66" sqref="E66"/>
    </sheetView>
  </sheetViews>
  <sheetFormatPr defaultRowHeight="12.75" x14ac:dyDescent="0.2"/>
  <cols>
    <col min="1" max="1" width="12.42578125" style="108" customWidth="1"/>
    <col min="2" max="2" width="68.140625" style="108" customWidth="1"/>
    <col min="3" max="3" width="13" style="108" customWidth="1"/>
    <col min="4" max="4" width="8" style="108" bestFit="1" customWidth="1"/>
    <col min="5" max="15" width="12.140625" style="108" customWidth="1"/>
    <col min="16" max="16" width="7.28515625" style="108" customWidth="1"/>
    <col min="17" max="17" width="12.28515625" style="108" customWidth="1"/>
    <col min="18" max="18" width="7.140625" style="108" bestFit="1" customWidth="1"/>
    <col min="19" max="19" width="9.140625" style="108"/>
    <col min="20" max="20" width="9.28515625" style="108" bestFit="1" customWidth="1"/>
    <col min="21" max="16384" width="9.140625" style="108"/>
  </cols>
  <sheetData>
    <row r="1" spans="1:20" ht="22.5" customHeight="1" x14ac:dyDescent="0.2">
      <c r="A1" s="1010" t="str">
        <f>Terrap.!A1</f>
        <v>ESTADO DE MATO GROSSO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2"/>
    </row>
    <row r="2" spans="1:20" ht="25.5" customHeight="1" x14ac:dyDescent="0.2">
      <c r="A2" s="1013" t="str">
        <f>Terrap.!A2</f>
        <v xml:space="preserve">PREFEITURA MUNICIPAL DE BARRA DO BUGRES 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5"/>
    </row>
    <row r="3" spans="1:20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208" t="str">
        <f>Terrap.!I3</f>
        <v>SINAPI - MARÇO / 2020                                                                                                                               ANP - NOV/2019 (desonerado) SICRO OUT/2019</v>
      </c>
      <c r="Q3" s="1259"/>
      <c r="R3" s="1209"/>
    </row>
    <row r="4" spans="1:20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210"/>
      <c r="Q4" s="1260"/>
      <c r="R4" s="1211"/>
    </row>
    <row r="5" spans="1:20" ht="15.75" customHeight="1" x14ac:dyDescent="0.2">
      <c r="A5" s="383" t="s">
        <v>58</v>
      </c>
      <c r="B5" s="1250" t="str">
        <f>Terrap.!B5</f>
        <v xml:space="preserve">PREFEITURA MUNICIPAL DE BARRA DO BUGRES </v>
      </c>
      <c r="C5" s="1459"/>
      <c r="D5" s="1459"/>
      <c r="E5" s="1459"/>
      <c r="F5" s="1459"/>
      <c r="G5" s="1459"/>
      <c r="H5" s="1459"/>
      <c r="I5" s="1459"/>
      <c r="J5" s="1459"/>
      <c r="K5" s="1460"/>
      <c r="L5" s="385" t="s">
        <v>370</v>
      </c>
      <c r="M5" s="1018" t="str">
        <f>Terrap.!F5</f>
        <v>maio 2020</v>
      </c>
      <c r="N5" s="1018"/>
      <c r="O5" s="1018"/>
      <c r="P5" s="1210"/>
      <c r="Q5" s="1260"/>
      <c r="R5" s="1211"/>
    </row>
    <row r="6" spans="1:20" ht="26.25" customHeight="1" thickBot="1" x14ac:dyDescent="0.25">
      <c r="A6" s="386" t="s">
        <v>59</v>
      </c>
      <c r="B6" s="1461">
        <f>Pavim.!B6</f>
        <v>7896.8</v>
      </c>
      <c r="C6" s="1462"/>
      <c r="D6" s="1462"/>
      <c r="E6" s="1462"/>
      <c r="F6" s="1462"/>
      <c r="G6" s="1462"/>
      <c r="H6" s="1462"/>
      <c r="I6" s="1462"/>
      <c r="J6" s="1462"/>
      <c r="K6" s="1463"/>
      <c r="L6" s="387" t="s">
        <v>60</v>
      </c>
      <c r="M6" s="388">
        <f>Terrap.!F6</f>
        <v>0.26740000000000003</v>
      </c>
      <c r="N6" s="1458" t="s">
        <v>61</v>
      </c>
      <c r="O6" s="1458"/>
      <c r="P6" s="1212"/>
      <c r="Q6" s="1261"/>
      <c r="R6" s="1213"/>
    </row>
    <row r="7" spans="1:20" ht="33" customHeight="1" thickBot="1" x14ac:dyDescent="0.25">
      <c r="A7" s="1435" t="s">
        <v>9</v>
      </c>
      <c r="B7" s="1436"/>
      <c r="C7" s="1436"/>
      <c r="D7" s="1436"/>
      <c r="E7" s="1436"/>
      <c r="F7" s="1436"/>
      <c r="G7" s="1436"/>
      <c r="H7" s="1436"/>
      <c r="I7" s="1436"/>
      <c r="J7" s="1436"/>
      <c r="K7" s="1436"/>
      <c r="L7" s="1436"/>
      <c r="M7" s="1436"/>
      <c r="N7" s="1436"/>
      <c r="O7" s="1436"/>
      <c r="P7" s="1436"/>
      <c r="Q7" s="1436"/>
      <c r="R7" s="1442"/>
    </row>
    <row r="8" spans="1:20" ht="13.5" thickBot="1" x14ac:dyDescent="0.25">
      <c r="A8" s="1447" t="s">
        <v>0</v>
      </c>
      <c r="B8" s="1450" t="s">
        <v>10</v>
      </c>
      <c r="C8" s="1453" t="s">
        <v>11</v>
      </c>
      <c r="D8" s="1453"/>
      <c r="E8" s="1454" t="s">
        <v>12</v>
      </c>
      <c r="F8" s="1455"/>
      <c r="G8" s="1455"/>
      <c r="H8" s="1455"/>
      <c r="I8" s="1455"/>
      <c r="J8" s="1455"/>
      <c r="K8" s="1455"/>
      <c r="L8" s="1455"/>
      <c r="M8" s="1455"/>
      <c r="N8" s="1455"/>
      <c r="O8" s="1455"/>
      <c r="P8" s="1455"/>
      <c r="Q8" s="1455"/>
      <c r="R8" s="1456"/>
    </row>
    <row r="9" spans="1:20" ht="13.5" thickBot="1" x14ac:dyDescent="0.25">
      <c r="A9" s="1448"/>
      <c r="B9" s="1451"/>
      <c r="C9" s="1453"/>
      <c r="D9" s="1453"/>
      <c r="E9" s="1440" t="s">
        <v>269</v>
      </c>
      <c r="F9" s="1441"/>
      <c r="G9" s="1457" t="s">
        <v>264</v>
      </c>
      <c r="H9" s="1441"/>
      <c r="I9" s="1440" t="s">
        <v>270</v>
      </c>
      <c r="J9" s="1441"/>
      <c r="K9" s="1440" t="s">
        <v>265</v>
      </c>
      <c r="L9" s="1441"/>
      <c r="M9" s="1440" t="s">
        <v>271</v>
      </c>
      <c r="N9" s="1441"/>
      <c r="O9" s="1440" t="s">
        <v>273</v>
      </c>
      <c r="P9" s="1441"/>
      <c r="Q9" s="1440" t="s">
        <v>13</v>
      </c>
      <c r="R9" s="1441"/>
    </row>
    <row r="10" spans="1:20" ht="13.5" thickBot="1" x14ac:dyDescent="0.25">
      <c r="A10" s="1449"/>
      <c r="B10" s="1452"/>
      <c r="C10" s="32" t="s">
        <v>14</v>
      </c>
      <c r="D10" s="33" t="s">
        <v>15</v>
      </c>
      <c r="E10" s="353" t="s">
        <v>14</v>
      </c>
      <c r="F10" s="33" t="s">
        <v>15</v>
      </c>
      <c r="G10" s="45" t="s">
        <v>16</v>
      </c>
      <c r="H10" s="34" t="s">
        <v>15</v>
      </c>
      <c r="I10" s="45" t="s">
        <v>16</v>
      </c>
      <c r="J10" s="34" t="s">
        <v>15</v>
      </c>
      <c r="K10" s="45" t="s">
        <v>16</v>
      </c>
      <c r="L10" s="34" t="s">
        <v>15</v>
      </c>
      <c r="M10" s="45" t="s">
        <v>16</v>
      </c>
      <c r="N10" s="34" t="s">
        <v>15</v>
      </c>
      <c r="O10" s="45" t="s">
        <v>16</v>
      </c>
      <c r="P10" s="34" t="s">
        <v>15</v>
      </c>
      <c r="Q10" s="45" t="s">
        <v>16</v>
      </c>
      <c r="R10" s="34" t="s">
        <v>15</v>
      </c>
    </row>
    <row r="11" spans="1:20" s="300" customFormat="1" x14ac:dyDescent="0.2">
      <c r="A11" s="305">
        <f>Resumo!A10</f>
        <v>1</v>
      </c>
      <c r="B11" s="339" t="str">
        <f>Resumo!B10</f>
        <v>SERVIÇOS PRELIMINARES</v>
      </c>
      <c r="C11" s="310"/>
      <c r="D11" s="311"/>
      <c r="E11" s="310"/>
      <c r="F11" s="312"/>
      <c r="G11" s="310"/>
      <c r="H11" s="313"/>
      <c r="I11" s="310"/>
      <c r="J11" s="312"/>
      <c r="K11" s="310"/>
      <c r="L11" s="312"/>
      <c r="M11" s="310"/>
      <c r="N11" s="312"/>
      <c r="O11" s="310"/>
      <c r="P11" s="312"/>
      <c r="Q11" s="310"/>
      <c r="R11" s="314"/>
    </row>
    <row r="12" spans="1:20" s="300" customFormat="1" ht="25.5" x14ac:dyDescent="0.2">
      <c r="A12" s="355" t="str">
        <f>Orçam.!A10</f>
        <v>1.1</v>
      </c>
      <c r="B12" s="306" t="str">
        <f>Orçam.!D10</f>
        <v>EXECUÇÃO DE DEPÓSITO EM CANTEIRO DE OBRA EM CHAPA DE MADEIRA COMPENSADA, NÃO INCLUSO MOBILIÁRIO. AF_04/2016</v>
      </c>
      <c r="C12" s="315">
        <f>Orçam.!I10</f>
        <v>7879.68</v>
      </c>
      <c r="D12" s="316" t="e">
        <f>C12/C85</f>
        <v>#REF!</v>
      </c>
      <c r="E12" s="315">
        <f>$C12*F12/100</f>
        <v>7879.68</v>
      </c>
      <c r="F12" s="317">
        <v>100</v>
      </c>
      <c r="G12" s="315"/>
      <c r="H12" s="314"/>
      <c r="I12" s="315"/>
      <c r="J12" s="317"/>
      <c r="K12" s="315"/>
      <c r="L12" s="317"/>
      <c r="M12" s="315"/>
      <c r="N12" s="317"/>
      <c r="O12" s="315"/>
      <c r="P12" s="317"/>
      <c r="Q12" s="315">
        <f>E12+G12+I12+K12+M12+O12</f>
        <v>7879.68</v>
      </c>
      <c r="R12" s="314">
        <f>F12+H12+J12+L12</f>
        <v>100</v>
      </c>
      <c r="T12" s="340">
        <f>C12-Q12</f>
        <v>0</v>
      </c>
    </row>
    <row r="13" spans="1:20" s="300" customFormat="1" x14ac:dyDescent="0.2">
      <c r="A13" s="355" t="str">
        <f>Orçam.!A11</f>
        <v>1.3</v>
      </c>
      <c r="B13" s="306" t="str">
        <f>Orçam.!D11</f>
        <v>PLACA DE OBRA EM CHAPA DE ACO GALVANIZADO</v>
      </c>
      <c r="C13" s="315">
        <f>Orçam.!I11</f>
        <v>1489.63</v>
      </c>
      <c r="D13" s="316" t="e">
        <f>C13/C85</f>
        <v>#REF!</v>
      </c>
      <c r="E13" s="315">
        <f>$C13*F13/100</f>
        <v>1489.63</v>
      </c>
      <c r="F13" s="317">
        <v>100</v>
      </c>
      <c r="G13" s="315"/>
      <c r="H13" s="314"/>
      <c r="I13" s="315"/>
      <c r="J13" s="317"/>
      <c r="K13" s="315"/>
      <c r="L13" s="317"/>
      <c r="M13" s="315"/>
      <c r="N13" s="317"/>
      <c r="O13" s="315"/>
      <c r="P13" s="317"/>
      <c r="Q13" s="315">
        <f>E13+G13+I13+K13+M13+O13</f>
        <v>1489.63</v>
      </c>
      <c r="R13" s="314">
        <f>F13+H13+J13+L13</f>
        <v>100</v>
      </c>
      <c r="T13" s="340">
        <f t="shared" ref="T13:T76" si="0">C13-Q13</f>
        <v>0</v>
      </c>
    </row>
    <row r="14" spans="1:20" s="300" customFormat="1" x14ac:dyDescent="0.2">
      <c r="A14" s="355" t="e">
        <f>Orçam.!#REF!</f>
        <v>#REF!</v>
      </c>
      <c r="B14" s="306" t="e">
        <f>Orçam.!#REF!</f>
        <v>#REF!</v>
      </c>
      <c r="C14" s="315" t="e">
        <f>Orçam.!#REF!</f>
        <v>#REF!</v>
      </c>
      <c r="D14" s="316" t="e">
        <f>C14/$C$85</f>
        <v>#REF!</v>
      </c>
      <c r="E14" s="315" t="e">
        <f>$C14*F14/100</f>
        <v>#REF!</v>
      </c>
      <c r="F14" s="317">
        <v>100</v>
      </c>
      <c r="G14" s="315"/>
      <c r="H14" s="314"/>
      <c r="I14" s="315"/>
      <c r="J14" s="317"/>
      <c r="K14" s="315"/>
      <c r="L14" s="317"/>
      <c r="M14" s="315"/>
      <c r="N14" s="317"/>
      <c r="O14" s="315"/>
      <c r="P14" s="317"/>
      <c r="Q14" s="315" t="e">
        <f>E14+G14+I14+K14+M14+O14</f>
        <v>#REF!</v>
      </c>
      <c r="R14" s="314">
        <f>F14+H14+J14+L14</f>
        <v>100</v>
      </c>
      <c r="T14" s="340" t="e">
        <f t="shared" si="0"/>
        <v>#REF!</v>
      </c>
    </row>
    <row r="15" spans="1:20" s="300" customFormat="1" x14ac:dyDescent="0.2">
      <c r="A15" s="355" t="e">
        <f>Orçam.!#REF!</f>
        <v>#REF!</v>
      </c>
      <c r="B15" s="306" t="e">
        <f>Orçam.!#REF!</f>
        <v>#REF!</v>
      </c>
      <c r="C15" s="315" t="e">
        <f>Orçam.!#REF!</f>
        <v>#REF!</v>
      </c>
      <c r="D15" s="316" t="e">
        <f>C15/$C$85</f>
        <v>#REF!</v>
      </c>
      <c r="E15" s="315" t="e">
        <f>$C15*F15/100</f>
        <v>#REF!</v>
      </c>
      <c r="F15" s="317">
        <v>100</v>
      </c>
      <c r="G15" s="315"/>
      <c r="H15" s="314"/>
      <c r="I15" s="315"/>
      <c r="J15" s="317"/>
      <c r="K15" s="315"/>
      <c r="L15" s="317"/>
      <c r="M15" s="315"/>
      <c r="N15" s="317"/>
      <c r="O15" s="315"/>
      <c r="P15" s="317"/>
      <c r="Q15" s="315" t="e">
        <f>E15+G15+I15+K15+M15+O15</f>
        <v>#REF!</v>
      </c>
      <c r="R15" s="314">
        <f>F15+H15+J15+L15</f>
        <v>100</v>
      </c>
      <c r="T15" s="340" t="e">
        <f t="shared" si="0"/>
        <v>#REF!</v>
      </c>
    </row>
    <row r="16" spans="1:20" s="341" customFormat="1" x14ac:dyDescent="0.2">
      <c r="A16" s="355" t="e">
        <f>Orçam.!#REF!</f>
        <v>#REF!</v>
      </c>
      <c r="B16" s="306" t="e">
        <f>Orçam.!#REF!</f>
        <v>#REF!</v>
      </c>
      <c r="C16" s="315" t="e">
        <f>Orçam.!#REF!</f>
        <v>#REF!</v>
      </c>
      <c r="D16" s="316" t="e">
        <f>C16/$C$85</f>
        <v>#REF!</v>
      </c>
      <c r="E16" s="315" t="e">
        <f>$C16*F16/100</f>
        <v>#REF!</v>
      </c>
      <c r="F16" s="317">
        <v>100</v>
      </c>
      <c r="G16" s="318"/>
      <c r="H16" s="319"/>
      <c r="I16" s="318"/>
      <c r="J16" s="317"/>
      <c r="K16" s="315"/>
      <c r="L16" s="317"/>
      <c r="M16" s="315"/>
      <c r="N16" s="317"/>
      <c r="O16" s="315"/>
      <c r="P16" s="317"/>
      <c r="Q16" s="315" t="e">
        <f>E16+G16+I16+K16+M16+O16</f>
        <v>#REF!</v>
      </c>
      <c r="R16" s="314">
        <f>F16+H16+J16+L16</f>
        <v>100</v>
      </c>
      <c r="T16" s="340" t="e">
        <f t="shared" si="0"/>
        <v>#REF!</v>
      </c>
    </row>
    <row r="17" spans="1:20" s="341" customFormat="1" x14ac:dyDescent="0.2">
      <c r="A17" s="355"/>
      <c r="B17" s="306"/>
      <c r="C17" s="315"/>
      <c r="D17" s="316"/>
      <c r="E17" s="315"/>
      <c r="F17" s="317"/>
      <c r="G17" s="318"/>
      <c r="H17" s="319"/>
      <c r="I17" s="318"/>
      <c r="J17" s="317"/>
      <c r="K17" s="315"/>
      <c r="L17" s="317"/>
      <c r="M17" s="315"/>
      <c r="N17" s="317"/>
      <c r="O17" s="315"/>
      <c r="P17" s="317"/>
      <c r="Q17" s="315"/>
      <c r="R17" s="314"/>
      <c r="T17" s="340">
        <f t="shared" si="0"/>
        <v>0</v>
      </c>
    </row>
    <row r="18" spans="1:20" s="343" customFormat="1" x14ac:dyDescent="0.2">
      <c r="A18" s="304">
        <f>Resumo!A12</f>
        <v>2</v>
      </c>
      <c r="B18" s="342" t="str">
        <f>Resumo!B12</f>
        <v>ADMINISTRAÇÃO DE CANTEIRO DE OBRA</v>
      </c>
      <c r="C18" s="310"/>
      <c r="D18" s="316"/>
      <c r="E18" s="310"/>
      <c r="F18" s="312"/>
      <c r="G18" s="310"/>
      <c r="H18" s="320"/>
      <c r="I18" s="310"/>
      <c r="J18" s="312"/>
      <c r="K18" s="310"/>
      <c r="L18" s="312"/>
      <c r="M18" s="310"/>
      <c r="N18" s="312"/>
      <c r="O18" s="310"/>
      <c r="P18" s="312"/>
      <c r="Q18" s="310"/>
      <c r="R18" s="314"/>
      <c r="T18" s="340">
        <f t="shared" si="0"/>
        <v>0</v>
      </c>
    </row>
    <row r="19" spans="1:20" s="343" customFormat="1" x14ac:dyDescent="0.2">
      <c r="A19" s="307" t="str">
        <f>Orçam.!A14</f>
        <v>2.1</v>
      </c>
      <c r="B19" s="344" t="str">
        <f>Orçam.!D14</f>
        <v>ADMINISTRAÇÃO LOCAL DA OBRA</v>
      </c>
      <c r="C19" s="315">
        <f>Orçam.!I14</f>
        <v>25825.8</v>
      </c>
      <c r="D19" s="316" t="e">
        <f>C19/$C$85</f>
        <v>#REF!</v>
      </c>
      <c r="E19" s="315">
        <f>$C19*F19/100</f>
        <v>5165.16</v>
      </c>
      <c r="F19" s="317">
        <v>20</v>
      </c>
      <c r="G19" s="315">
        <f>$C19*H19/100</f>
        <v>5165.16</v>
      </c>
      <c r="H19" s="319">
        <v>20</v>
      </c>
      <c r="I19" s="315">
        <f>$C19*J19/100</f>
        <v>5165.16</v>
      </c>
      <c r="J19" s="317">
        <v>20</v>
      </c>
      <c r="K19" s="315">
        <f>$C19*L19/100</f>
        <v>5165.16</v>
      </c>
      <c r="L19" s="317">
        <v>20</v>
      </c>
      <c r="M19" s="315">
        <f>$C19*N19/100</f>
        <v>2582.58</v>
      </c>
      <c r="N19" s="317">
        <v>10</v>
      </c>
      <c r="O19" s="315">
        <f>$C19*P19/100</f>
        <v>2582.58</v>
      </c>
      <c r="P19" s="317">
        <v>10</v>
      </c>
      <c r="Q19" s="315">
        <f t="shared" ref="Q19:R53" si="1">E19+G19+I19+K19+M19+O19</f>
        <v>25825.8</v>
      </c>
      <c r="R19" s="314">
        <f t="shared" si="1"/>
        <v>100</v>
      </c>
      <c r="T19" s="340">
        <f t="shared" si="0"/>
        <v>0</v>
      </c>
    </row>
    <row r="20" spans="1:20" s="343" customFormat="1" x14ac:dyDescent="0.2">
      <c r="A20" s="307" t="e">
        <f>Orçam.!#REF!</f>
        <v>#REF!</v>
      </c>
      <c r="B20" s="344" t="e">
        <f>Orçam.!#REF!</f>
        <v>#REF!</v>
      </c>
      <c r="C20" s="315" t="e">
        <f>Orçam.!#REF!</f>
        <v>#REF!</v>
      </c>
      <c r="D20" s="316" t="e">
        <f>C20/$C$85</f>
        <v>#REF!</v>
      </c>
      <c r="E20" s="315" t="e">
        <f>$C20*F20/100</f>
        <v>#REF!</v>
      </c>
      <c r="F20" s="317">
        <v>20</v>
      </c>
      <c r="G20" s="315" t="e">
        <f>$C20*H20/100</f>
        <v>#REF!</v>
      </c>
      <c r="H20" s="319">
        <v>20</v>
      </c>
      <c r="I20" s="315" t="e">
        <f>$C20*J20/100</f>
        <v>#REF!</v>
      </c>
      <c r="J20" s="317">
        <v>20</v>
      </c>
      <c r="K20" s="315" t="e">
        <f>$C20*L20/100</f>
        <v>#REF!</v>
      </c>
      <c r="L20" s="317">
        <v>20</v>
      </c>
      <c r="M20" s="315" t="e">
        <f>$C20*N20/100</f>
        <v>#REF!</v>
      </c>
      <c r="N20" s="317">
        <v>10</v>
      </c>
      <c r="O20" s="315" t="e">
        <f>$C20*P20/100</f>
        <v>#REF!</v>
      </c>
      <c r="P20" s="317">
        <v>10</v>
      </c>
      <c r="Q20" s="315" t="e">
        <f t="shared" si="1"/>
        <v>#REF!</v>
      </c>
      <c r="R20" s="314">
        <f t="shared" si="1"/>
        <v>100</v>
      </c>
      <c r="T20" s="340" t="e">
        <f t="shared" si="0"/>
        <v>#REF!</v>
      </c>
    </row>
    <row r="21" spans="1:20" s="343" customFormat="1" x14ac:dyDescent="0.2">
      <c r="A21" s="307" t="e">
        <f>Orçam.!#REF!</f>
        <v>#REF!</v>
      </c>
      <c r="B21" s="344" t="e">
        <f>Orçam.!#REF!</f>
        <v>#REF!</v>
      </c>
      <c r="C21" s="315" t="e">
        <f>Orçam.!#REF!</f>
        <v>#REF!</v>
      </c>
      <c r="D21" s="316" t="e">
        <f>C21/$C$85</f>
        <v>#REF!</v>
      </c>
      <c r="E21" s="315" t="e">
        <f>$C21*F21/100</f>
        <v>#REF!</v>
      </c>
      <c r="F21" s="317">
        <v>20</v>
      </c>
      <c r="G21" s="315" t="e">
        <f>$C21*H21/100</f>
        <v>#REF!</v>
      </c>
      <c r="H21" s="319">
        <v>20</v>
      </c>
      <c r="I21" s="315" t="e">
        <f>$C21*J21/100</f>
        <v>#REF!</v>
      </c>
      <c r="J21" s="317">
        <v>20</v>
      </c>
      <c r="K21" s="315" t="e">
        <f>$C21*L21/100</f>
        <v>#REF!</v>
      </c>
      <c r="L21" s="317">
        <v>20</v>
      </c>
      <c r="M21" s="315" t="e">
        <f>$C21*N21/100</f>
        <v>#REF!</v>
      </c>
      <c r="N21" s="317">
        <v>10</v>
      </c>
      <c r="O21" s="315" t="e">
        <f>$C21*P21/100</f>
        <v>#REF!</v>
      </c>
      <c r="P21" s="317">
        <v>10</v>
      </c>
      <c r="Q21" s="315" t="e">
        <f t="shared" si="1"/>
        <v>#REF!</v>
      </c>
      <c r="R21" s="314">
        <f t="shared" si="1"/>
        <v>100</v>
      </c>
      <c r="T21" s="340" t="e">
        <f t="shared" si="0"/>
        <v>#REF!</v>
      </c>
    </row>
    <row r="22" spans="1:20" s="343" customFormat="1" x14ac:dyDescent="0.2">
      <c r="A22" s="307" t="e">
        <f>Orçam.!#REF!</f>
        <v>#REF!</v>
      </c>
      <c r="B22" s="344" t="e">
        <f>Orçam.!#REF!</f>
        <v>#REF!</v>
      </c>
      <c r="C22" s="315" t="e">
        <f>Orçam.!#REF!</f>
        <v>#REF!</v>
      </c>
      <c r="D22" s="316" t="e">
        <f>C22/$C$85</f>
        <v>#REF!</v>
      </c>
      <c r="E22" s="315" t="e">
        <f>$C22*F22/100</f>
        <v>#REF!</v>
      </c>
      <c r="F22" s="317">
        <v>20</v>
      </c>
      <c r="G22" s="315" t="e">
        <f>$C22*H22/100</f>
        <v>#REF!</v>
      </c>
      <c r="H22" s="319">
        <v>20</v>
      </c>
      <c r="I22" s="315" t="e">
        <f>$C22*J22/100</f>
        <v>#REF!</v>
      </c>
      <c r="J22" s="317">
        <v>20</v>
      </c>
      <c r="K22" s="315" t="e">
        <f>$C22*L22/100</f>
        <v>#REF!</v>
      </c>
      <c r="L22" s="317">
        <v>20</v>
      </c>
      <c r="M22" s="315" t="e">
        <f>$C22*N22/100</f>
        <v>#REF!</v>
      </c>
      <c r="N22" s="317">
        <v>10</v>
      </c>
      <c r="O22" s="315" t="e">
        <f>$C22*P22/100</f>
        <v>#REF!</v>
      </c>
      <c r="P22" s="317">
        <v>10</v>
      </c>
      <c r="Q22" s="315" t="e">
        <f t="shared" si="1"/>
        <v>#REF!</v>
      </c>
      <c r="R22" s="314">
        <f t="shared" si="1"/>
        <v>100</v>
      </c>
      <c r="T22" s="340" t="e">
        <f t="shared" si="0"/>
        <v>#REF!</v>
      </c>
    </row>
    <row r="23" spans="1:20" s="343" customFormat="1" x14ac:dyDescent="0.2">
      <c r="A23" s="307"/>
      <c r="B23" s="344"/>
      <c r="C23" s="315"/>
      <c r="D23" s="316"/>
      <c r="E23" s="315"/>
      <c r="F23" s="317"/>
      <c r="G23" s="315"/>
      <c r="H23" s="319"/>
      <c r="I23" s="315"/>
      <c r="J23" s="317"/>
      <c r="K23" s="315"/>
      <c r="L23" s="317"/>
      <c r="M23" s="315"/>
      <c r="N23" s="317"/>
      <c r="O23" s="315"/>
      <c r="P23" s="317"/>
      <c r="Q23" s="315"/>
      <c r="R23" s="314"/>
      <c r="T23" s="340">
        <f t="shared" si="0"/>
        <v>0</v>
      </c>
    </row>
    <row r="24" spans="1:20" s="300" customFormat="1" x14ac:dyDescent="0.2">
      <c r="A24" s="304" t="e">
        <f>Resumo!#REF!</f>
        <v>#REF!</v>
      </c>
      <c r="B24" s="345" t="e">
        <f>Resumo!#REF!</f>
        <v>#REF!</v>
      </c>
      <c r="C24" s="310"/>
      <c r="D24" s="316"/>
      <c r="E24" s="310"/>
      <c r="F24" s="312"/>
      <c r="G24" s="310"/>
      <c r="H24" s="313"/>
      <c r="I24" s="310"/>
      <c r="J24" s="312"/>
      <c r="K24" s="310"/>
      <c r="L24" s="312"/>
      <c r="M24" s="310"/>
      <c r="N24" s="312"/>
      <c r="O24" s="310"/>
      <c r="P24" s="312"/>
      <c r="Q24" s="310"/>
      <c r="R24" s="314"/>
      <c r="T24" s="340">
        <f t="shared" si="0"/>
        <v>0</v>
      </c>
    </row>
    <row r="25" spans="1:20" s="346" customFormat="1" x14ac:dyDescent="0.2">
      <c r="A25" s="304" t="e">
        <f>Resumo!#REF!</f>
        <v>#REF!</v>
      </c>
      <c r="B25" s="342" t="e">
        <f>Resumo!#REF!</f>
        <v>#REF!</v>
      </c>
      <c r="C25" s="315"/>
      <c r="D25" s="316"/>
      <c r="E25" s="315"/>
      <c r="F25" s="317"/>
      <c r="G25" s="315"/>
      <c r="H25" s="314"/>
      <c r="I25" s="315"/>
      <c r="J25" s="317"/>
      <c r="K25" s="315"/>
      <c r="L25" s="317"/>
      <c r="M25" s="315"/>
      <c r="N25" s="317"/>
      <c r="O25" s="315"/>
      <c r="P25" s="317"/>
      <c r="Q25" s="315"/>
      <c r="R25" s="314"/>
      <c r="T25" s="340">
        <f t="shared" si="0"/>
        <v>0</v>
      </c>
    </row>
    <row r="26" spans="1:20" s="346" customFormat="1" x14ac:dyDescent="0.2">
      <c r="A26" s="307" t="e">
        <f>Orçam.!#REF!</f>
        <v>#REF!</v>
      </c>
      <c r="B26" s="344" t="e">
        <f>Orçam.!#REF!</f>
        <v>#REF!</v>
      </c>
      <c r="C26" s="315" t="e">
        <f>Orçam.!#REF!</f>
        <v>#REF!</v>
      </c>
      <c r="D26" s="316" t="e">
        <f>C26/$C$85</f>
        <v>#REF!</v>
      </c>
      <c r="E26" s="315" t="e">
        <f>$C26*F26/100</f>
        <v>#REF!</v>
      </c>
      <c r="F26" s="317">
        <v>50</v>
      </c>
      <c r="G26" s="315" t="e">
        <f>$C26*H26/100</f>
        <v>#REF!</v>
      </c>
      <c r="H26" s="314">
        <v>50</v>
      </c>
      <c r="I26" s="315"/>
      <c r="J26" s="317"/>
      <c r="K26" s="315"/>
      <c r="L26" s="317"/>
      <c r="M26" s="315"/>
      <c r="N26" s="317"/>
      <c r="O26" s="315"/>
      <c r="P26" s="317"/>
      <c r="Q26" s="315" t="e">
        <f t="shared" si="1"/>
        <v>#REF!</v>
      </c>
      <c r="R26" s="314">
        <f t="shared" si="1"/>
        <v>100</v>
      </c>
      <c r="T26" s="340" t="e">
        <f t="shared" si="0"/>
        <v>#REF!</v>
      </c>
    </row>
    <row r="27" spans="1:20" s="346" customFormat="1" x14ac:dyDescent="0.2">
      <c r="A27" s="304" t="e">
        <f>Resumo!#REF!</f>
        <v>#REF!</v>
      </c>
      <c r="B27" s="342" t="e">
        <f>Resumo!#REF!</f>
        <v>#REF!</v>
      </c>
      <c r="C27" s="315"/>
      <c r="D27" s="316"/>
      <c r="E27" s="315"/>
      <c r="F27" s="317"/>
      <c r="G27" s="315"/>
      <c r="H27" s="314"/>
      <c r="I27" s="315"/>
      <c r="J27" s="317"/>
      <c r="K27" s="315"/>
      <c r="L27" s="317"/>
      <c r="M27" s="315"/>
      <c r="N27" s="317"/>
      <c r="O27" s="315"/>
      <c r="P27" s="317"/>
      <c r="Q27" s="315"/>
      <c r="R27" s="314"/>
      <c r="T27" s="340">
        <f t="shared" si="0"/>
        <v>0</v>
      </c>
    </row>
    <row r="28" spans="1:20" s="346" customFormat="1" x14ac:dyDescent="0.2">
      <c r="A28" s="307" t="e">
        <f>Orçam.!#REF!</f>
        <v>#REF!</v>
      </c>
      <c r="B28" s="347" t="e">
        <f>Orçam.!#REF!</f>
        <v>#REF!</v>
      </c>
      <c r="C28" s="315" t="e">
        <f>Orçam.!#REF!</f>
        <v>#REF!</v>
      </c>
      <c r="D28" s="316" t="e">
        <f>C28/$C$85</f>
        <v>#REF!</v>
      </c>
      <c r="E28" s="315" t="e">
        <f>$C28*F28/100</f>
        <v>#REF!</v>
      </c>
      <c r="F28" s="317">
        <v>40</v>
      </c>
      <c r="G28" s="315" t="e">
        <f>$C28*H28/100</f>
        <v>#REF!</v>
      </c>
      <c r="H28" s="314">
        <v>45</v>
      </c>
      <c r="I28" s="315" t="e">
        <f>$C28*J28/100+0.01</f>
        <v>#REF!</v>
      </c>
      <c r="J28" s="317">
        <v>15</v>
      </c>
      <c r="K28" s="315"/>
      <c r="L28" s="317"/>
      <c r="M28" s="315"/>
      <c r="N28" s="317"/>
      <c r="O28" s="315"/>
      <c r="P28" s="317"/>
      <c r="Q28" s="315" t="e">
        <f t="shared" si="1"/>
        <v>#REF!</v>
      </c>
      <c r="R28" s="314">
        <f t="shared" si="1"/>
        <v>100</v>
      </c>
      <c r="T28" s="340" t="e">
        <f t="shared" si="0"/>
        <v>#REF!</v>
      </c>
    </row>
    <row r="29" spans="1:20" s="346" customFormat="1" x14ac:dyDescent="0.2">
      <c r="A29" s="307" t="e">
        <f>Orçam.!#REF!</f>
        <v>#REF!</v>
      </c>
      <c r="B29" s="347" t="e">
        <f>Orçam.!#REF!</f>
        <v>#REF!</v>
      </c>
      <c r="C29" s="315" t="e">
        <f>Orçam.!#REF!</f>
        <v>#REF!</v>
      </c>
      <c r="D29" s="316" t="e">
        <f>C29/$C$85</f>
        <v>#REF!</v>
      </c>
      <c r="E29" s="315" t="e">
        <f>$C29*F29/100</f>
        <v>#REF!</v>
      </c>
      <c r="F29" s="317">
        <v>40</v>
      </c>
      <c r="G29" s="315" t="e">
        <f>$C29*H29/100</f>
        <v>#REF!</v>
      </c>
      <c r="H29" s="314">
        <v>45</v>
      </c>
      <c r="I29" s="315" t="e">
        <f>$C29*J29/100</f>
        <v>#REF!</v>
      </c>
      <c r="J29" s="317">
        <v>15</v>
      </c>
      <c r="K29" s="315"/>
      <c r="L29" s="317"/>
      <c r="M29" s="315"/>
      <c r="N29" s="317"/>
      <c r="O29" s="315"/>
      <c r="P29" s="317"/>
      <c r="Q29" s="315" t="e">
        <f t="shared" si="1"/>
        <v>#REF!</v>
      </c>
      <c r="R29" s="314">
        <f t="shared" si="1"/>
        <v>100</v>
      </c>
      <c r="T29" s="340" t="e">
        <f>C29-Q29</f>
        <v>#REF!</v>
      </c>
    </row>
    <row r="30" spans="1:20" s="346" customFormat="1" x14ac:dyDescent="0.2">
      <c r="A30" s="307" t="e">
        <f>Orçam.!#REF!</f>
        <v>#REF!</v>
      </c>
      <c r="B30" s="347" t="e">
        <f>Orçam.!#REF!</f>
        <v>#REF!</v>
      </c>
      <c r="C30" s="315" t="e">
        <f>Orçam.!#REF!</f>
        <v>#REF!</v>
      </c>
      <c r="D30" s="316" t="e">
        <f>C30/$C$85</f>
        <v>#REF!</v>
      </c>
      <c r="E30" s="315" t="e">
        <f>$C30*F30/100</f>
        <v>#REF!</v>
      </c>
      <c r="F30" s="317">
        <v>40</v>
      </c>
      <c r="G30" s="315" t="e">
        <f>$C30*H30/100</f>
        <v>#REF!</v>
      </c>
      <c r="H30" s="314">
        <v>45</v>
      </c>
      <c r="I30" s="315" t="e">
        <f>$C30*J30/100-0.01</f>
        <v>#REF!</v>
      </c>
      <c r="J30" s="317">
        <v>15</v>
      </c>
      <c r="K30" s="315"/>
      <c r="L30" s="317"/>
      <c r="M30" s="315"/>
      <c r="N30" s="317"/>
      <c r="O30" s="315"/>
      <c r="P30" s="317"/>
      <c r="Q30" s="315" t="e">
        <f t="shared" si="1"/>
        <v>#REF!</v>
      </c>
      <c r="R30" s="314">
        <f t="shared" si="1"/>
        <v>100</v>
      </c>
      <c r="T30" s="340" t="e">
        <f t="shared" si="0"/>
        <v>#REF!</v>
      </c>
    </row>
    <row r="31" spans="1:20" s="346" customFormat="1" x14ac:dyDescent="0.2">
      <c r="A31" s="307" t="e">
        <f>Orçam.!#REF!</f>
        <v>#REF!</v>
      </c>
      <c r="B31" s="347" t="e">
        <f>Orçam.!#REF!</f>
        <v>#REF!</v>
      </c>
      <c r="C31" s="315" t="e">
        <f>Orçam.!#REF!</f>
        <v>#REF!</v>
      </c>
      <c r="D31" s="316" t="e">
        <f>C31/$C$85</f>
        <v>#REF!</v>
      </c>
      <c r="E31" s="315" t="e">
        <f>$C31*F31/100</f>
        <v>#REF!</v>
      </c>
      <c r="F31" s="317">
        <v>40</v>
      </c>
      <c r="G31" s="315" t="e">
        <f>$C31*H31/100</f>
        <v>#REF!</v>
      </c>
      <c r="H31" s="314">
        <v>45</v>
      </c>
      <c r="I31" s="315" t="e">
        <f>$C31*J31/100+0.01</f>
        <v>#REF!</v>
      </c>
      <c r="J31" s="317">
        <v>15</v>
      </c>
      <c r="K31" s="315"/>
      <c r="L31" s="317"/>
      <c r="M31" s="315"/>
      <c r="N31" s="317"/>
      <c r="O31" s="315"/>
      <c r="P31" s="317"/>
      <c r="Q31" s="315" t="e">
        <f t="shared" si="1"/>
        <v>#REF!</v>
      </c>
      <c r="R31" s="314">
        <f t="shared" si="1"/>
        <v>100</v>
      </c>
      <c r="T31" s="340" t="e">
        <f t="shared" si="0"/>
        <v>#REF!</v>
      </c>
    </row>
    <row r="32" spans="1:20" s="346" customFormat="1" x14ac:dyDescent="0.2">
      <c r="A32" s="307" t="e">
        <f>Orçam.!#REF!</f>
        <v>#REF!</v>
      </c>
      <c r="B32" s="347" t="e">
        <f>Orçam.!#REF!</f>
        <v>#REF!</v>
      </c>
      <c r="C32" s="315" t="e">
        <f>Orçam.!#REF!</f>
        <v>#REF!</v>
      </c>
      <c r="D32" s="316" t="e">
        <f>C32/$C$85</f>
        <v>#REF!</v>
      </c>
      <c r="E32" s="315" t="e">
        <f>$C32*F32/100</f>
        <v>#REF!</v>
      </c>
      <c r="F32" s="317">
        <v>40</v>
      </c>
      <c r="G32" s="315" t="e">
        <f>$C32*H32/100</f>
        <v>#REF!</v>
      </c>
      <c r="H32" s="314">
        <v>45</v>
      </c>
      <c r="I32" s="315" t="e">
        <f>$C32*J32/100-0.01</f>
        <v>#REF!</v>
      </c>
      <c r="J32" s="317">
        <v>15</v>
      </c>
      <c r="K32" s="315"/>
      <c r="L32" s="317"/>
      <c r="M32" s="315"/>
      <c r="N32" s="317"/>
      <c r="O32" s="315"/>
      <c r="P32" s="317"/>
      <c r="Q32" s="315" t="e">
        <f t="shared" si="1"/>
        <v>#REF!</v>
      </c>
      <c r="R32" s="314">
        <f t="shared" si="1"/>
        <v>100</v>
      </c>
      <c r="T32" s="340" t="e">
        <f t="shared" si="0"/>
        <v>#REF!</v>
      </c>
    </row>
    <row r="33" spans="1:20" s="346" customFormat="1" x14ac:dyDescent="0.2">
      <c r="A33" s="304" t="e">
        <f>Resumo!#REF!</f>
        <v>#REF!</v>
      </c>
      <c r="B33" s="345" t="e">
        <f>Resumo!#REF!</f>
        <v>#REF!</v>
      </c>
      <c r="C33" s="315"/>
      <c r="D33" s="316"/>
      <c r="E33" s="315"/>
      <c r="F33" s="317"/>
      <c r="G33" s="315"/>
      <c r="H33" s="314"/>
      <c r="I33" s="315"/>
      <c r="J33" s="317"/>
      <c r="K33" s="315"/>
      <c r="L33" s="317"/>
      <c r="M33" s="315"/>
      <c r="N33" s="317"/>
      <c r="O33" s="315"/>
      <c r="P33" s="317"/>
      <c r="Q33" s="315"/>
      <c r="R33" s="314"/>
      <c r="T33" s="340">
        <f t="shared" si="0"/>
        <v>0</v>
      </c>
    </row>
    <row r="34" spans="1:20" s="346" customFormat="1" x14ac:dyDescent="0.2">
      <c r="A34" s="308" t="e">
        <f>Orçam.!#REF!</f>
        <v>#REF!</v>
      </c>
      <c r="B34" s="347" t="e">
        <f>Orçam.!#REF!</f>
        <v>#REF!</v>
      </c>
      <c r="C34" s="315" t="e">
        <f>Orçam.!#REF!</f>
        <v>#REF!</v>
      </c>
      <c r="D34" s="316" t="e">
        <f t="shared" ref="D34:D43" si="2">C34/$C$85</f>
        <v>#REF!</v>
      </c>
      <c r="E34" s="315" t="e">
        <f t="shared" ref="E34:E43" si="3">$C34*F34/100</f>
        <v>#REF!</v>
      </c>
      <c r="F34" s="317">
        <v>10</v>
      </c>
      <c r="G34" s="315" t="e">
        <f t="shared" ref="G34:G43" si="4">$C34*H34/100</f>
        <v>#REF!</v>
      </c>
      <c r="H34" s="314">
        <v>20</v>
      </c>
      <c r="I34" s="315" t="e">
        <f t="shared" ref="I34:I43" si="5">$C34*J34/100</f>
        <v>#REF!</v>
      </c>
      <c r="J34" s="317">
        <v>40</v>
      </c>
      <c r="K34" s="315" t="e">
        <f t="shared" ref="K34:K43" si="6">$C34*L34/100</f>
        <v>#REF!</v>
      </c>
      <c r="L34" s="317">
        <v>25</v>
      </c>
      <c r="M34" s="315" t="e">
        <f t="shared" ref="M34:M43" si="7">$C34*N34/100</f>
        <v>#REF!</v>
      </c>
      <c r="N34" s="317">
        <v>5</v>
      </c>
      <c r="O34" s="315"/>
      <c r="P34" s="317"/>
      <c r="Q34" s="315" t="e">
        <f t="shared" ref="Q34:Q43" si="8">E34+G34+I34+K34+M34+O34</f>
        <v>#REF!</v>
      </c>
      <c r="R34" s="314">
        <f t="shared" si="1"/>
        <v>100</v>
      </c>
      <c r="T34" s="340" t="e">
        <f t="shared" si="0"/>
        <v>#REF!</v>
      </c>
    </row>
    <row r="35" spans="1:20" s="346" customFormat="1" x14ac:dyDescent="0.2">
      <c r="A35" s="308" t="e">
        <f>Orçam.!#REF!</f>
        <v>#REF!</v>
      </c>
      <c r="B35" s="347" t="e">
        <f>Orçam.!#REF!</f>
        <v>#REF!</v>
      </c>
      <c r="C35" s="315" t="e">
        <f>Orçam.!#REF!</f>
        <v>#REF!</v>
      </c>
      <c r="D35" s="316" t="e">
        <f t="shared" si="2"/>
        <v>#REF!</v>
      </c>
      <c r="E35" s="315" t="e">
        <f t="shared" si="3"/>
        <v>#REF!</v>
      </c>
      <c r="F35" s="317">
        <v>10</v>
      </c>
      <c r="G35" s="315" t="e">
        <f t="shared" si="4"/>
        <v>#REF!</v>
      </c>
      <c r="H35" s="314">
        <v>20</v>
      </c>
      <c r="I35" s="315" t="e">
        <f t="shared" si="5"/>
        <v>#REF!</v>
      </c>
      <c r="J35" s="317">
        <v>40</v>
      </c>
      <c r="K35" s="315" t="e">
        <f t="shared" si="6"/>
        <v>#REF!</v>
      </c>
      <c r="L35" s="317">
        <v>25</v>
      </c>
      <c r="M35" s="315" t="e">
        <f t="shared" si="7"/>
        <v>#REF!</v>
      </c>
      <c r="N35" s="317">
        <v>5</v>
      </c>
      <c r="O35" s="315"/>
      <c r="P35" s="317"/>
      <c r="Q35" s="315" t="e">
        <f t="shared" si="8"/>
        <v>#REF!</v>
      </c>
      <c r="R35" s="314">
        <f t="shared" si="1"/>
        <v>100</v>
      </c>
      <c r="T35" s="340" t="e">
        <f t="shared" si="0"/>
        <v>#REF!</v>
      </c>
    </row>
    <row r="36" spans="1:20" s="346" customFormat="1" x14ac:dyDescent="0.2">
      <c r="A36" s="308" t="e">
        <f>Orçam.!#REF!</f>
        <v>#REF!</v>
      </c>
      <c r="B36" s="347" t="e">
        <f>Orçam.!#REF!</f>
        <v>#REF!</v>
      </c>
      <c r="C36" s="315" t="e">
        <f>Orçam.!#REF!</f>
        <v>#REF!</v>
      </c>
      <c r="D36" s="316" t="e">
        <f t="shared" si="2"/>
        <v>#REF!</v>
      </c>
      <c r="E36" s="315" t="e">
        <f t="shared" si="3"/>
        <v>#REF!</v>
      </c>
      <c r="F36" s="317">
        <v>10</v>
      </c>
      <c r="G36" s="315" t="e">
        <f t="shared" si="4"/>
        <v>#REF!</v>
      </c>
      <c r="H36" s="314">
        <v>20</v>
      </c>
      <c r="I36" s="315" t="e">
        <f t="shared" si="5"/>
        <v>#REF!</v>
      </c>
      <c r="J36" s="317">
        <v>40</v>
      </c>
      <c r="K36" s="315" t="e">
        <f t="shared" si="6"/>
        <v>#REF!</v>
      </c>
      <c r="L36" s="317">
        <v>25</v>
      </c>
      <c r="M36" s="315" t="e">
        <f t="shared" si="7"/>
        <v>#REF!</v>
      </c>
      <c r="N36" s="317">
        <v>5</v>
      </c>
      <c r="O36" s="315"/>
      <c r="P36" s="317"/>
      <c r="Q36" s="315" t="e">
        <f t="shared" si="8"/>
        <v>#REF!</v>
      </c>
      <c r="R36" s="314">
        <f t="shared" si="1"/>
        <v>100</v>
      </c>
      <c r="T36" s="340" t="e">
        <f t="shared" si="0"/>
        <v>#REF!</v>
      </c>
    </row>
    <row r="37" spans="1:20" s="346" customFormat="1" x14ac:dyDescent="0.2">
      <c r="A37" s="308" t="e">
        <f>Orçam.!#REF!</f>
        <v>#REF!</v>
      </c>
      <c r="B37" s="347" t="e">
        <f>Orçam.!#REF!</f>
        <v>#REF!</v>
      </c>
      <c r="C37" s="315" t="e">
        <f>Orçam.!#REF!</f>
        <v>#REF!</v>
      </c>
      <c r="D37" s="316" t="e">
        <f t="shared" si="2"/>
        <v>#REF!</v>
      </c>
      <c r="E37" s="315" t="e">
        <f t="shared" si="3"/>
        <v>#REF!</v>
      </c>
      <c r="F37" s="317">
        <v>10</v>
      </c>
      <c r="G37" s="315" t="e">
        <f t="shared" si="4"/>
        <v>#REF!</v>
      </c>
      <c r="H37" s="314">
        <v>20</v>
      </c>
      <c r="I37" s="315" t="e">
        <f t="shared" si="5"/>
        <v>#REF!</v>
      </c>
      <c r="J37" s="317">
        <v>40</v>
      </c>
      <c r="K37" s="315" t="e">
        <f t="shared" si="6"/>
        <v>#REF!</v>
      </c>
      <c r="L37" s="317">
        <v>25</v>
      </c>
      <c r="M37" s="315" t="e">
        <f t="shared" si="7"/>
        <v>#REF!</v>
      </c>
      <c r="N37" s="317">
        <v>5</v>
      </c>
      <c r="O37" s="315"/>
      <c r="P37" s="317"/>
      <c r="Q37" s="315" t="e">
        <f t="shared" si="8"/>
        <v>#REF!</v>
      </c>
      <c r="R37" s="314">
        <f t="shared" si="1"/>
        <v>100</v>
      </c>
      <c r="T37" s="340" t="e">
        <f t="shared" si="0"/>
        <v>#REF!</v>
      </c>
    </row>
    <row r="38" spans="1:20" s="346" customFormat="1" x14ac:dyDescent="0.2">
      <c r="A38" s="308" t="e">
        <f>Orçam.!#REF!</f>
        <v>#REF!</v>
      </c>
      <c r="B38" s="347" t="e">
        <f>Orçam.!#REF!</f>
        <v>#REF!</v>
      </c>
      <c r="C38" s="315" t="e">
        <f>Orçam.!#REF!</f>
        <v>#REF!</v>
      </c>
      <c r="D38" s="316" t="e">
        <f t="shared" si="2"/>
        <v>#REF!</v>
      </c>
      <c r="E38" s="315" t="e">
        <f t="shared" si="3"/>
        <v>#REF!</v>
      </c>
      <c r="F38" s="317">
        <v>10</v>
      </c>
      <c r="G38" s="315" t="e">
        <f t="shared" si="4"/>
        <v>#REF!</v>
      </c>
      <c r="H38" s="314">
        <v>20</v>
      </c>
      <c r="I38" s="315" t="e">
        <f t="shared" si="5"/>
        <v>#REF!</v>
      </c>
      <c r="J38" s="317">
        <v>40</v>
      </c>
      <c r="K38" s="315" t="e">
        <f t="shared" si="6"/>
        <v>#REF!</v>
      </c>
      <c r="L38" s="317">
        <v>25</v>
      </c>
      <c r="M38" s="315" t="e">
        <f t="shared" si="7"/>
        <v>#REF!</v>
      </c>
      <c r="N38" s="317">
        <v>5</v>
      </c>
      <c r="O38" s="315"/>
      <c r="P38" s="317"/>
      <c r="Q38" s="315" t="e">
        <f t="shared" si="8"/>
        <v>#REF!</v>
      </c>
      <c r="R38" s="314">
        <f t="shared" si="1"/>
        <v>100</v>
      </c>
      <c r="T38" s="340" t="e">
        <f t="shared" si="0"/>
        <v>#REF!</v>
      </c>
    </row>
    <row r="39" spans="1:20" s="346" customFormat="1" x14ac:dyDescent="0.2">
      <c r="A39" s="308" t="e">
        <f>Orçam.!#REF!</f>
        <v>#REF!</v>
      </c>
      <c r="B39" s="347" t="e">
        <f>Orçam.!#REF!</f>
        <v>#REF!</v>
      </c>
      <c r="C39" s="315" t="e">
        <f>Orçam.!#REF!</f>
        <v>#REF!</v>
      </c>
      <c r="D39" s="316" t="e">
        <f t="shared" si="2"/>
        <v>#REF!</v>
      </c>
      <c r="E39" s="315" t="e">
        <f t="shared" si="3"/>
        <v>#REF!</v>
      </c>
      <c r="F39" s="317">
        <v>10</v>
      </c>
      <c r="G39" s="315" t="e">
        <f t="shared" si="4"/>
        <v>#REF!</v>
      </c>
      <c r="H39" s="314">
        <v>20</v>
      </c>
      <c r="I39" s="315" t="e">
        <f t="shared" si="5"/>
        <v>#REF!</v>
      </c>
      <c r="J39" s="317">
        <v>40</v>
      </c>
      <c r="K39" s="315" t="e">
        <f t="shared" si="6"/>
        <v>#REF!</v>
      </c>
      <c r="L39" s="317">
        <v>25</v>
      </c>
      <c r="M39" s="315" t="e">
        <f t="shared" si="7"/>
        <v>#REF!</v>
      </c>
      <c r="N39" s="317">
        <v>5</v>
      </c>
      <c r="O39" s="315"/>
      <c r="P39" s="317"/>
      <c r="Q39" s="315" t="e">
        <f t="shared" si="8"/>
        <v>#REF!</v>
      </c>
      <c r="R39" s="314">
        <f t="shared" si="1"/>
        <v>100</v>
      </c>
      <c r="T39" s="340" t="e">
        <f t="shared" si="0"/>
        <v>#REF!</v>
      </c>
    </row>
    <row r="40" spans="1:20" s="346" customFormat="1" x14ac:dyDescent="0.2">
      <c r="A40" s="308" t="e">
        <f>Orçam.!#REF!</f>
        <v>#REF!</v>
      </c>
      <c r="B40" s="347" t="e">
        <f>Orçam.!#REF!</f>
        <v>#REF!</v>
      </c>
      <c r="C40" s="315" t="e">
        <f>Orçam.!#REF!</f>
        <v>#REF!</v>
      </c>
      <c r="D40" s="316" t="e">
        <f t="shared" si="2"/>
        <v>#REF!</v>
      </c>
      <c r="E40" s="315" t="e">
        <f t="shared" si="3"/>
        <v>#REF!</v>
      </c>
      <c r="F40" s="317">
        <v>10</v>
      </c>
      <c r="G40" s="315" t="e">
        <f t="shared" si="4"/>
        <v>#REF!</v>
      </c>
      <c r="H40" s="314">
        <v>20</v>
      </c>
      <c r="I40" s="315" t="e">
        <f t="shared" si="5"/>
        <v>#REF!</v>
      </c>
      <c r="J40" s="317">
        <v>40</v>
      </c>
      <c r="K40" s="315" t="e">
        <f t="shared" si="6"/>
        <v>#REF!</v>
      </c>
      <c r="L40" s="317">
        <v>25</v>
      </c>
      <c r="M40" s="315" t="e">
        <f t="shared" si="7"/>
        <v>#REF!</v>
      </c>
      <c r="N40" s="317">
        <v>5</v>
      </c>
      <c r="O40" s="315"/>
      <c r="P40" s="317"/>
      <c r="Q40" s="315" t="e">
        <f t="shared" si="8"/>
        <v>#REF!</v>
      </c>
      <c r="R40" s="314">
        <f t="shared" si="1"/>
        <v>100</v>
      </c>
      <c r="T40" s="340" t="e">
        <f t="shared" si="0"/>
        <v>#REF!</v>
      </c>
    </row>
    <row r="41" spans="1:20" s="346" customFormat="1" x14ac:dyDescent="0.2">
      <c r="A41" s="308" t="e">
        <f>Orçam.!#REF!</f>
        <v>#REF!</v>
      </c>
      <c r="B41" s="347" t="e">
        <f>Orçam.!#REF!</f>
        <v>#REF!</v>
      </c>
      <c r="C41" s="315" t="e">
        <f>Orçam.!#REF!</f>
        <v>#REF!</v>
      </c>
      <c r="D41" s="316" t="e">
        <f t="shared" si="2"/>
        <v>#REF!</v>
      </c>
      <c r="E41" s="315" t="e">
        <f t="shared" si="3"/>
        <v>#REF!</v>
      </c>
      <c r="F41" s="317">
        <v>10</v>
      </c>
      <c r="G41" s="315" t="e">
        <f t="shared" si="4"/>
        <v>#REF!</v>
      </c>
      <c r="H41" s="314">
        <v>20</v>
      </c>
      <c r="I41" s="315" t="e">
        <f t="shared" si="5"/>
        <v>#REF!</v>
      </c>
      <c r="J41" s="317">
        <v>40</v>
      </c>
      <c r="K41" s="315" t="e">
        <f t="shared" si="6"/>
        <v>#REF!</v>
      </c>
      <c r="L41" s="317">
        <v>25</v>
      </c>
      <c r="M41" s="315" t="e">
        <f t="shared" si="7"/>
        <v>#REF!</v>
      </c>
      <c r="N41" s="317">
        <v>5</v>
      </c>
      <c r="O41" s="315"/>
      <c r="P41" s="317"/>
      <c r="Q41" s="315" t="e">
        <f t="shared" si="8"/>
        <v>#REF!</v>
      </c>
      <c r="R41" s="314">
        <f t="shared" si="1"/>
        <v>100</v>
      </c>
      <c r="T41" s="340" t="e">
        <f>C41-Q41</f>
        <v>#REF!</v>
      </c>
    </row>
    <row r="42" spans="1:20" s="346" customFormat="1" x14ac:dyDescent="0.2">
      <c r="A42" s="308" t="e">
        <f>Orçam.!#REF!</f>
        <v>#REF!</v>
      </c>
      <c r="B42" s="347" t="e">
        <f>Orçam.!#REF!</f>
        <v>#REF!</v>
      </c>
      <c r="C42" s="315" t="e">
        <f>Orçam.!#REF!</f>
        <v>#REF!</v>
      </c>
      <c r="D42" s="316" t="e">
        <f t="shared" si="2"/>
        <v>#REF!</v>
      </c>
      <c r="E42" s="315" t="e">
        <f t="shared" si="3"/>
        <v>#REF!</v>
      </c>
      <c r="F42" s="317">
        <v>10</v>
      </c>
      <c r="G42" s="315" t="e">
        <f t="shared" si="4"/>
        <v>#REF!</v>
      </c>
      <c r="H42" s="314">
        <v>20</v>
      </c>
      <c r="I42" s="315" t="e">
        <f t="shared" si="5"/>
        <v>#REF!</v>
      </c>
      <c r="J42" s="317">
        <v>40</v>
      </c>
      <c r="K42" s="315" t="e">
        <f t="shared" si="6"/>
        <v>#REF!</v>
      </c>
      <c r="L42" s="317">
        <v>25</v>
      </c>
      <c r="M42" s="315" t="e">
        <f t="shared" si="7"/>
        <v>#REF!</v>
      </c>
      <c r="N42" s="317">
        <v>5</v>
      </c>
      <c r="O42" s="315"/>
      <c r="P42" s="317"/>
      <c r="Q42" s="315" t="e">
        <f t="shared" si="8"/>
        <v>#REF!</v>
      </c>
      <c r="R42" s="314">
        <f t="shared" si="1"/>
        <v>100</v>
      </c>
      <c r="T42" s="340" t="e">
        <f t="shared" si="0"/>
        <v>#REF!</v>
      </c>
    </row>
    <row r="43" spans="1:20" s="346" customFormat="1" x14ac:dyDescent="0.2">
      <c r="A43" s="308" t="e">
        <f>Orçam.!#REF!</f>
        <v>#REF!</v>
      </c>
      <c r="B43" s="347" t="e">
        <f>Orçam.!#REF!</f>
        <v>#REF!</v>
      </c>
      <c r="C43" s="315" t="e">
        <f>Orçam.!#REF!</f>
        <v>#REF!</v>
      </c>
      <c r="D43" s="316" t="e">
        <f t="shared" si="2"/>
        <v>#REF!</v>
      </c>
      <c r="E43" s="315" t="e">
        <f t="shared" si="3"/>
        <v>#REF!</v>
      </c>
      <c r="F43" s="317">
        <v>10</v>
      </c>
      <c r="G43" s="315" t="e">
        <f t="shared" si="4"/>
        <v>#REF!</v>
      </c>
      <c r="H43" s="314">
        <v>20</v>
      </c>
      <c r="I43" s="315" t="e">
        <f t="shared" si="5"/>
        <v>#REF!</v>
      </c>
      <c r="J43" s="317">
        <v>40</v>
      </c>
      <c r="K43" s="315" t="e">
        <f t="shared" si="6"/>
        <v>#REF!</v>
      </c>
      <c r="L43" s="317">
        <v>25</v>
      </c>
      <c r="M43" s="315" t="e">
        <f t="shared" si="7"/>
        <v>#REF!</v>
      </c>
      <c r="N43" s="317">
        <v>5</v>
      </c>
      <c r="O43" s="315"/>
      <c r="P43" s="317"/>
      <c r="Q43" s="315" t="e">
        <f t="shared" si="8"/>
        <v>#REF!</v>
      </c>
      <c r="R43" s="314">
        <f t="shared" si="1"/>
        <v>100</v>
      </c>
      <c r="T43" s="340" t="e">
        <f t="shared" si="0"/>
        <v>#REF!</v>
      </c>
    </row>
    <row r="44" spans="1:20" s="346" customFormat="1" x14ac:dyDescent="0.2">
      <c r="A44" s="304" t="e">
        <f>Resumo!#REF!</f>
        <v>#REF!</v>
      </c>
      <c r="B44" s="342" t="e">
        <f>Resumo!#REF!</f>
        <v>#REF!</v>
      </c>
      <c r="C44" s="310"/>
      <c r="D44" s="316"/>
      <c r="E44" s="315"/>
      <c r="F44" s="317"/>
      <c r="G44" s="315"/>
      <c r="H44" s="314"/>
      <c r="I44" s="315"/>
      <c r="J44" s="317"/>
      <c r="K44" s="315"/>
      <c r="L44" s="317"/>
      <c r="M44" s="315"/>
      <c r="N44" s="317"/>
      <c r="O44" s="315"/>
      <c r="P44" s="317"/>
      <c r="Q44" s="315"/>
      <c r="R44" s="314"/>
      <c r="T44" s="340">
        <f t="shared" si="0"/>
        <v>0</v>
      </c>
    </row>
    <row r="45" spans="1:20" s="346" customFormat="1" x14ac:dyDescent="0.2">
      <c r="A45" s="307" t="e">
        <f>Orçam.!#REF!</f>
        <v>#REF!</v>
      </c>
      <c r="B45" s="347" t="e">
        <f>Orçam.!#REF!</f>
        <v>#REF!</v>
      </c>
      <c r="C45" s="315" t="e">
        <f>Orçam.!#REF!</f>
        <v>#REF!</v>
      </c>
      <c r="D45" s="316" t="e">
        <f t="shared" ref="D45:D51" si="9">C45/$C$85</f>
        <v>#REF!</v>
      </c>
      <c r="E45" s="315" t="e">
        <f t="shared" ref="E45:E51" si="10">$C45*F45/100</f>
        <v>#REF!</v>
      </c>
      <c r="F45" s="317">
        <v>10</v>
      </c>
      <c r="G45" s="315" t="e">
        <f t="shared" ref="G45:G51" si="11">$C45*H45/100</f>
        <v>#REF!</v>
      </c>
      <c r="H45" s="314">
        <v>20</v>
      </c>
      <c r="I45" s="315" t="e">
        <f t="shared" ref="I45:I51" si="12">$C45*J45/100</f>
        <v>#REF!</v>
      </c>
      <c r="J45" s="317">
        <v>40</v>
      </c>
      <c r="K45" s="315" t="e">
        <f t="shared" ref="K45:K51" si="13">$C45*L45/100</f>
        <v>#REF!</v>
      </c>
      <c r="L45" s="317">
        <v>20</v>
      </c>
      <c r="M45" s="315" t="e">
        <f>$C45*N45/100-0.01</f>
        <v>#REF!</v>
      </c>
      <c r="N45" s="317">
        <v>10</v>
      </c>
      <c r="O45" s="315"/>
      <c r="P45" s="317"/>
      <c r="Q45" s="315" t="e">
        <f t="shared" ref="Q45:Q51" si="14">E45+G45+I45+K45+M45+O45</f>
        <v>#REF!</v>
      </c>
      <c r="R45" s="314">
        <f t="shared" si="1"/>
        <v>100</v>
      </c>
      <c r="T45" s="340" t="e">
        <f t="shared" si="0"/>
        <v>#REF!</v>
      </c>
    </row>
    <row r="46" spans="1:20" s="346" customFormat="1" x14ac:dyDescent="0.2">
      <c r="A46" s="307" t="e">
        <f>Orçam.!#REF!</f>
        <v>#REF!</v>
      </c>
      <c r="B46" s="347" t="e">
        <f>Orçam.!#REF!</f>
        <v>#REF!</v>
      </c>
      <c r="C46" s="315" t="e">
        <f>Orçam.!#REF!</f>
        <v>#REF!</v>
      </c>
      <c r="D46" s="316" t="e">
        <f t="shared" si="9"/>
        <v>#REF!</v>
      </c>
      <c r="E46" s="315" t="e">
        <f t="shared" si="10"/>
        <v>#REF!</v>
      </c>
      <c r="F46" s="317">
        <v>10</v>
      </c>
      <c r="G46" s="315" t="e">
        <f t="shared" si="11"/>
        <v>#REF!</v>
      </c>
      <c r="H46" s="314">
        <v>20</v>
      </c>
      <c r="I46" s="315" t="e">
        <f t="shared" si="12"/>
        <v>#REF!</v>
      </c>
      <c r="J46" s="317">
        <v>40</v>
      </c>
      <c r="K46" s="315" t="e">
        <f t="shared" si="13"/>
        <v>#REF!</v>
      </c>
      <c r="L46" s="317">
        <v>20</v>
      </c>
      <c r="M46" s="315" t="e">
        <f>$C46*N46/100-0.01</f>
        <v>#REF!</v>
      </c>
      <c r="N46" s="317">
        <v>10</v>
      </c>
      <c r="O46" s="315"/>
      <c r="P46" s="317"/>
      <c r="Q46" s="315" t="e">
        <f t="shared" si="14"/>
        <v>#REF!</v>
      </c>
      <c r="R46" s="314">
        <f t="shared" si="1"/>
        <v>100</v>
      </c>
      <c r="T46" s="340" t="e">
        <f t="shared" si="0"/>
        <v>#REF!</v>
      </c>
    </row>
    <row r="47" spans="1:20" s="346" customFormat="1" x14ac:dyDescent="0.2">
      <c r="A47" s="307" t="e">
        <f>Orçam.!#REF!</f>
        <v>#REF!</v>
      </c>
      <c r="B47" s="347" t="e">
        <f>Orçam.!#REF!</f>
        <v>#REF!</v>
      </c>
      <c r="C47" s="315" t="e">
        <f>Orçam.!#REF!</f>
        <v>#REF!</v>
      </c>
      <c r="D47" s="316" t="e">
        <f t="shared" si="9"/>
        <v>#REF!</v>
      </c>
      <c r="E47" s="315" t="e">
        <f t="shared" si="10"/>
        <v>#REF!</v>
      </c>
      <c r="F47" s="317">
        <v>10</v>
      </c>
      <c r="G47" s="315" t="e">
        <f t="shared" si="11"/>
        <v>#REF!</v>
      </c>
      <c r="H47" s="314">
        <v>20</v>
      </c>
      <c r="I47" s="315" t="e">
        <f t="shared" si="12"/>
        <v>#REF!</v>
      </c>
      <c r="J47" s="317">
        <v>40</v>
      </c>
      <c r="K47" s="315" t="e">
        <f t="shared" si="13"/>
        <v>#REF!</v>
      </c>
      <c r="L47" s="317">
        <v>20</v>
      </c>
      <c r="M47" s="315" t="e">
        <f>$C47*N47/100</f>
        <v>#REF!</v>
      </c>
      <c r="N47" s="317">
        <v>10</v>
      </c>
      <c r="O47" s="315"/>
      <c r="P47" s="317"/>
      <c r="Q47" s="315" t="e">
        <f t="shared" si="14"/>
        <v>#REF!</v>
      </c>
      <c r="R47" s="314">
        <f t="shared" si="1"/>
        <v>100</v>
      </c>
      <c r="T47" s="340" t="e">
        <f t="shared" si="0"/>
        <v>#REF!</v>
      </c>
    </row>
    <row r="48" spans="1:20" s="346" customFormat="1" x14ac:dyDescent="0.2">
      <c r="A48" s="307" t="e">
        <f>Orçam.!#REF!</f>
        <v>#REF!</v>
      </c>
      <c r="B48" s="347" t="e">
        <f>Orçam.!#REF!</f>
        <v>#REF!</v>
      </c>
      <c r="C48" s="315" t="e">
        <f>Orçam.!#REF!</f>
        <v>#REF!</v>
      </c>
      <c r="D48" s="316" t="e">
        <f t="shared" si="9"/>
        <v>#REF!</v>
      </c>
      <c r="E48" s="315" t="e">
        <f t="shared" si="10"/>
        <v>#REF!</v>
      </c>
      <c r="F48" s="317">
        <v>10</v>
      </c>
      <c r="G48" s="315" t="e">
        <f t="shared" si="11"/>
        <v>#REF!</v>
      </c>
      <c r="H48" s="314">
        <v>20</v>
      </c>
      <c r="I48" s="315" t="e">
        <f t="shared" si="12"/>
        <v>#REF!</v>
      </c>
      <c r="J48" s="317">
        <v>40</v>
      </c>
      <c r="K48" s="315" t="e">
        <f t="shared" si="13"/>
        <v>#REF!</v>
      </c>
      <c r="L48" s="317">
        <v>20</v>
      </c>
      <c r="M48" s="315" t="e">
        <f>$C48*N48/100</f>
        <v>#REF!</v>
      </c>
      <c r="N48" s="317">
        <v>10</v>
      </c>
      <c r="O48" s="315"/>
      <c r="P48" s="317"/>
      <c r="Q48" s="315" t="e">
        <f t="shared" si="14"/>
        <v>#REF!</v>
      </c>
      <c r="R48" s="314">
        <f t="shared" si="1"/>
        <v>100</v>
      </c>
      <c r="T48" s="340" t="e">
        <f t="shared" si="0"/>
        <v>#REF!</v>
      </c>
    </row>
    <row r="49" spans="1:20" s="346" customFormat="1" x14ac:dyDescent="0.2">
      <c r="A49" s="307" t="e">
        <f>Orçam.!#REF!</f>
        <v>#REF!</v>
      </c>
      <c r="B49" s="347" t="e">
        <f>Orçam.!#REF!</f>
        <v>#REF!</v>
      </c>
      <c r="C49" s="315" t="e">
        <f>Orçam.!#REF!</f>
        <v>#REF!</v>
      </c>
      <c r="D49" s="316" t="e">
        <f t="shared" si="9"/>
        <v>#REF!</v>
      </c>
      <c r="E49" s="315" t="e">
        <f t="shared" si="10"/>
        <v>#REF!</v>
      </c>
      <c r="F49" s="317">
        <v>10</v>
      </c>
      <c r="G49" s="315" t="e">
        <f t="shared" si="11"/>
        <v>#REF!</v>
      </c>
      <c r="H49" s="314">
        <v>20</v>
      </c>
      <c r="I49" s="315" t="e">
        <f t="shared" si="12"/>
        <v>#REF!</v>
      </c>
      <c r="J49" s="317">
        <v>40</v>
      </c>
      <c r="K49" s="315" t="e">
        <f t="shared" si="13"/>
        <v>#REF!</v>
      </c>
      <c r="L49" s="317">
        <v>20</v>
      </c>
      <c r="M49" s="315" t="e">
        <f>$C49*N49/100</f>
        <v>#REF!</v>
      </c>
      <c r="N49" s="317">
        <v>10</v>
      </c>
      <c r="O49" s="315"/>
      <c r="P49" s="317"/>
      <c r="Q49" s="315" t="e">
        <f t="shared" si="14"/>
        <v>#REF!</v>
      </c>
      <c r="R49" s="314">
        <f t="shared" si="1"/>
        <v>100</v>
      </c>
      <c r="T49" s="340" t="e">
        <f t="shared" si="0"/>
        <v>#REF!</v>
      </c>
    </row>
    <row r="50" spans="1:20" s="346" customFormat="1" x14ac:dyDescent="0.2">
      <c r="A50" s="307" t="e">
        <f>Orçam.!#REF!</f>
        <v>#REF!</v>
      </c>
      <c r="B50" s="347" t="e">
        <f>Orçam.!#REF!</f>
        <v>#REF!</v>
      </c>
      <c r="C50" s="315" t="e">
        <f>Orçam.!#REF!</f>
        <v>#REF!</v>
      </c>
      <c r="D50" s="316" t="e">
        <f t="shared" si="9"/>
        <v>#REF!</v>
      </c>
      <c r="E50" s="315" t="e">
        <f t="shared" si="10"/>
        <v>#REF!</v>
      </c>
      <c r="F50" s="317">
        <v>10</v>
      </c>
      <c r="G50" s="315" t="e">
        <f t="shared" si="11"/>
        <v>#REF!</v>
      </c>
      <c r="H50" s="314">
        <v>20</v>
      </c>
      <c r="I50" s="315" t="e">
        <f t="shared" si="12"/>
        <v>#REF!</v>
      </c>
      <c r="J50" s="317">
        <v>40</v>
      </c>
      <c r="K50" s="315" t="e">
        <f t="shared" si="13"/>
        <v>#REF!</v>
      </c>
      <c r="L50" s="317">
        <v>20</v>
      </c>
      <c r="M50" s="315" t="e">
        <f>$C50*N50/100</f>
        <v>#REF!</v>
      </c>
      <c r="N50" s="317">
        <v>10</v>
      </c>
      <c r="O50" s="315"/>
      <c r="P50" s="317"/>
      <c r="Q50" s="315" t="e">
        <f t="shared" si="14"/>
        <v>#REF!</v>
      </c>
      <c r="R50" s="314">
        <f t="shared" si="1"/>
        <v>100</v>
      </c>
      <c r="T50" s="340" t="e">
        <f t="shared" si="0"/>
        <v>#REF!</v>
      </c>
    </row>
    <row r="51" spans="1:20" s="346" customFormat="1" x14ac:dyDescent="0.2">
      <c r="A51" s="307" t="e">
        <f>Orçam.!#REF!</f>
        <v>#REF!</v>
      </c>
      <c r="B51" s="347" t="e">
        <f>Orçam.!#REF!</f>
        <v>#REF!</v>
      </c>
      <c r="C51" s="315" t="e">
        <f>Orçam.!#REF!</f>
        <v>#REF!</v>
      </c>
      <c r="D51" s="316" t="e">
        <f t="shared" si="9"/>
        <v>#REF!</v>
      </c>
      <c r="E51" s="315" t="e">
        <f t="shared" si="10"/>
        <v>#REF!</v>
      </c>
      <c r="F51" s="317">
        <v>10</v>
      </c>
      <c r="G51" s="315" t="e">
        <f t="shared" si="11"/>
        <v>#REF!</v>
      </c>
      <c r="H51" s="314">
        <v>20</v>
      </c>
      <c r="I51" s="315" t="e">
        <f t="shared" si="12"/>
        <v>#REF!</v>
      </c>
      <c r="J51" s="317">
        <v>40</v>
      </c>
      <c r="K51" s="315" t="e">
        <f t="shared" si="13"/>
        <v>#REF!</v>
      </c>
      <c r="L51" s="317">
        <v>20</v>
      </c>
      <c r="M51" s="315" t="e">
        <f>$C51*N51/100</f>
        <v>#REF!</v>
      </c>
      <c r="N51" s="317">
        <v>10</v>
      </c>
      <c r="O51" s="315"/>
      <c r="P51" s="317"/>
      <c r="Q51" s="315" t="e">
        <f t="shared" si="14"/>
        <v>#REF!</v>
      </c>
      <c r="R51" s="314">
        <f t="shared" si="1"/>
        <v>100</v>
      </c>
      <c r="T51" s="340" t="e">
        <f t="shared" si="0"/>
        <v>#REF!</v>
      </c>
    </row>
    <row r="52" spans="1:20" s="346" customFormat="1" x14ac:dyDescent="0.2">
      <c r="A52" s="304" t="e">
        <f>Resumo!#REF!</f>
        <v>#REF!</v>
      </c>
      <c r="B52" s="342" t="e">
        <f>Resumo!#REF!</f>
        <v>#REF!</v>
      </c>
      <c r="C52" s="310"/>
      <c r="D52" s="316"/>
      <c r="E52" s="315"/>
      <c r="F52" s="317"/>
      <c r="G52" s="315"/>
      <c r="H52" s="314"/>
      <c r="I52" s="315"/>
      <c r="J52" s="317"/>
      <c r="K52" s="315"/>
      <c r="L52" s="317"/>
      <c r="M52" s="315"/>
      <c r="N52" s="317"/>
      <c r="O52" s="315"/>
      <c r="P52" s="317"/>
      <c r="Q52" s="315"/>
      <c r="R52" s="314"/>
      <c r="T52" s="340">
        <f t="shared" si="0"/>
        <v>0</v>
      </c>
    </row>
    <row r="53" spans="1:20" s="346" customFormat="1" x14ac:dyDescent="0.2">
      <c r="A53" s="307" t="e">
        <f>Orçam.!#REF!</f>
        <v>#REF!</v>
      </c>
      <c r="B53" s="344" t="e">
        <f>Orçam.!#REF!</f>
        <v>#REF!</v>
      </c>
      <c r="C53" s="315" t="e">
        <f>Orçam.!#REF!</f>
        <v>#REF!</v>
      </c>
      <c r="D53" s="316" t="e">
        <f>C53/$C$85</f>
        <v>#REF!</v>
      </c>
      <c r="E53" s="315" t="e">
        <f>$C53*F53/100</f>
        <v>#REF!</v>
      </c>
      <c r="F53" s="317">
        <v>100</v>
      </c>
      <c r="G53" s="315"/>
      <c r="H53" s="314"/>
      <c r="I53" s="315"/>
      <c r="J53" s="317"/>
      <c r="K53" s="315"/>
      <c r="L53" s="317"/>
      <c r="M53" s="315"/>
      <c r="N53" s="317"/>
      <c r="O53" s="315"/>
      <c r="P53" s="317"/>
      <c r="Q53" s="315" t="e">
        <f>E53+G53+I53+K53+M53+O53</f>
        <v>#REF!</v>
      </c>
      <c r="R53" s="314">
        <f t="shared" si="1"/>
        <v>100</v>
      </c>
      <c r="T53" s="340" t="e">
        <f t="shared" si="0"/>
        <v>#REF!</v>
      </c>
    </row>
    <row r="54" spans="1:20" s="346" customFormat="1" x14ac:dyDescent="0.2">
      <c r="A54" s="307"/>
      <c r="B54" s="344"/>
      <c r="C54" s="315"/>
      <c r="D54" s="316"/>
      <c r="E54" s="315"/>
      <c r="F54" s="317"/>
      <c r="G54" s="315"/>
      <c r="H54" s="314"/>
      <c r="I54" s="315"/>
      <c r="J54" s="317"/>
      <c r="K54" s="315"/>
      <c r="L54" s="317"/>
      <c r="M54" s="315"/>
      <c r="N54" s="317"/>
      <c r="O54" s="315"/>
      <c r="P54" s="317"/>
      <c r="Q54" s="315"/>
      <c r="R54" s="314"/>
      <c r="T54" s="340">
        <f>C54-Q54</f>
        <v>0</v>
      </c>
    </row>
    <row r="55" spans="1:20" s="300" customFormat="1" x14ac:dyDescent="0.2">
      <c r="A55" s="304">
        <f>Resumo!A14</f>
        <v>3</v>
      </c>
      <c r="B55" s="342" t="str">
        <f>Resumo!B14</f>
        <v>PAVIMENTAÇÃO EM TSD</v>
      </c>
      <c r="C55" s="310"/>
      <c r="D55" s="316"/>
      <c r="E55" s="310"/>
      <c r="F55" s="312"/>
      <c r="G55" s="310"/>
      <c r="H55" s="313"/>
      <c r="I55" s="310"/>
      <c r="J55" s="312"/>
      <c r="K55" s="310"/>
      <c r="L55" s="312"/>
      <c r="M55" s="310"/>
      <c r="N55" s="312"/>
      <c r="O55" s="310"/>
      <c r="P55" s="312"/>
      <c r="Q55" s="310"/>
      <c r="R55" s="314"/>
      <c r="T55" s="340">
        <f t="shared" si="0"/>
        <v>0</v>
      </c>
    </row>
    <row r="56" spans="1:20" s="346" customFormat="1" x14ac:dyDescent="0.2">
      <c r="A56" s="304" t="str">
        <f>Resumo!A15</f>
        <v>3.1</v>
      </c>
      <c r="B56" s="348" t="str">
        <f>Resumo!B15</f>
        <v>TERRAPLENAGEM</v>
      </c>
      <c r="C56" s="315"/>
      <c r="D56" s="316"/>
      <c r="E56" s="315"/>
      <c r="F56" s="317"/>
      <c r="G56" s="315"/>
      <c r="H56" s="314"/>
      <c r="I56" s="315"/>
      <c r="J56" s="317"/>
      <c r="K56" s="315"/>
      <c r="L56" s="317"/>
      <c r="M56" s="315"/>
      <c r="N56" s="317"/>
      <c r="O56" s="315"/>
      <c r="P56" s="317"/>
      <c r="Q56" s="315"/>
      <c r="R56" s="314"/>
      <c r="T56" s="340">
        <f t="shared" si="0"/>
        <v>0</v>
      </c>
    </row>
    <row r="57" spans="1:20" s="346" customFormat="1" x14ac:dyDescent="0.2">
      <c r="A57" s="307" t="e">
        <f>Orçam.!#REF!</f>
        <v>#REF!</v>
      </c>
      <c r="B57" s="349" t="e">
        <f>Orçam.!#REF!</f>
        <v>#REF!</v>
      </c>
      <c r="C57" s="315" t="e">
        <f>Orçam.!#REF!</f>
        <v>#REF!</v>
      </c>
      <c r="D57" s="316" t="e">
        <f>C57/$C$85</f>
        <v>#REF!</v>
      </c>
      <c r="E57" s="315" t="e">
        <f>$C57*F57/100</f>
        <v>#REF!</v>
      </c>
      <c r="F57" s="317">
        <v>50</v>
      </c>
      <c r="G57" s="315" t="e">
        <f>$C57*H57/100</f>
        <v>#REF!</v>
      </c>
      <c r="H57" s="314">
        <v>30</v>
      </c>
      <c r="I57" s="315" t="e">
        <f>$C57*J57/100</f>
        <v>#REF!</v>
      </c>
      <c r="J57" s="317">
        <v>20</v>
      </c>
      <c r="K57" s="315"/>
      <c r="L57" s="317"/>
      <c r="M57" s="315"/>
      <c r="N57" s="317"/>
      <c r="O57" s="315"/>
      <c r="P57" s="317"/>
      <c r="Q57" s="315" t="e">
        <f t="shared" ref="Q57:R72" si="15">E57+G57+I57+K57+M57+O57</f>
        <v>#REF!</v>
      </c>
      <c r="R57" s="314">
        <f t="shared" si="15"/>
        <v>100</v>
      </c>
      <c r="T57" s="340" t="e">
        <f t="shared" si="0"/>
        <v>#REF!</v>
      </c>
    </row>
    <row r="58" spans="1:20" s="346" customFormat="1" ht="25.5" x14ac:dyDescent="0.2">
      <c r="A58" s="307" t="str">
        <f>Orçam.!A18</f>
        <v>3.1.1</v>
      </c>
      <c r="B58" s="349" t="str">
        <f>Orçam.!D18</f>
        <v>ESCAVACAO MECANICA DE MATERIAL 1A. CATEGORIA, PROVENIENTE DE CORTE DE SUBLEITO (C/TRATOR ESTEIRAS 160HP)</v>
      </c>
      <c r="C58" s="315">
        <f>Orçam.!I18</f>
        <v>4975.87</v>
      </c>
      <c r="D58" s="316" t="e">
        <f>C58/$C$85</f>
        <v>#REF!</v>
      </c>
      <c r="E58" s="315">
        <f>$C58*F58/100</f>
        <v>2487.94</v>
      </c>
      <c r="F58" s="317">
        <v>50</v>
      </c>
      <c r="G58" s="315">
        <f>$C58*H58/100</f>
        <v>1492.76</v>
      </c>
      <c r="H58" s="314">
        <v>30</v>
      </c>
      <c r="I58" s="315">
        <f>$C58*J58/100-0.01</f>
        <v>995.16</v>
      </c>
      <c r="J58" s="317">
        <v>20</v>
      </c>
      <c r="K58" s="315"/>
      <c r="L58" s="317"/>
      <c r="M58" s="315"/>
      <c r="N58" s="317"/>
      <c r="O58" s="315"/>
      <c r="P58" s="317"/>
      <c r="Q58" s="315">
        <f t="shared" si="15"/>
        <v>4975.8599999999997</v>
      </c>
      <c r="R58" s="314">
        <f t="shared" si="15"/>
        <v>100</v>
      </c>
      <c r="T58" s="340">
        <f t="shared" si="0"/>
        <v>0.01</v>
      </c>
    </row>
    <row r="59" spans="1:20" s="346" customFormat="1" x14ac:dyDescent="0.2">
      <c r="A59" s="307" t="e">
        <f>Orçam.!#REF!</f>
        <v>#REF!</v>
      </c>
      <c r="B59" s="349" t="e">
        <f>Orçam.!#REF!</f>
        <v>#REF!</v>
      </c>
      <c r="C59" s="315" t="e">
        <f>Orçam.!#REF!</f>
        <v>#REF!</v>
      </c>
      <c r="D59" s="316" t="e">
        <f>C59/$C$85</f>
        <v>#REF!</v>
      </c>
      <c r="E59" s="315" t="e">
        <f>$C59*F59/100</f>
        <v>#REF!</v>
      </c>
      <c r="F59" s="317">
        <v>50</v>
      </c>
      <c r="G59" s="315" t="e">
        <f>$C59*H59/100</f>
        <v>#REF!</v>
      </c>
      <c r="H59" s="314">
        <v>30</v>
      </c>
      <c r="I59" s="315" t="e">
        <f>$C59*J59/100</f>
        <v>#REF!</v>
      </c>
      <c r="J59" s="317">
        <v>20</v>
      </c>
      <c r="K59" s="315"/>
      <c r="L59" s="317"/>
      <c r="M59" s="315"/>
      <c r="N59" s="317"/>
      <c r="O59" s="315"/>
      <c r="P59" s="317"/>
      <c r="Q59" s="315" t="e">
        <f t="shared" si="15"/>
        <v>#REF!</v>
      </c>
      <c r="R59" s="314">
        <f t="shared" si="15"/>
        <v>100</v>
      </c>
      <c r="T59" s="340" t="e">
        <f t="shared" si="0"/>
        <v>#REF!</v>
      </c>
    </row>
    <row r="60" spans="1:20" s="346" customFormat="1" ht="25.5" x14ac:dyDescent="0.2">
      <c r="A60" s="307" t="str">
        <f>Orçam.!A19</f>
        <v>3.1.2</v>
      </c>
      <c r="B60" s="349" t="str">
        <f>Orçam.!D19</f>
        <v>TRANSPORTE COM CAMINHÃO BASCULANTE DE 10 M3, EM VIA URBANA EM REVESTIMENTO PRIMÁRIO (UNIDADE: M3XKM). AF_04/2016</v>
      </c>
      <c r="C60" s="315">
        <f>Orçam.!I19</f>
        <v>9338.14</v>
      </c>
      <c r="D60" s="316" t="e">
        <f>C60/$C$85</f>
        <v>#REF!</v>
      </c>
      <c r="E60" s="315">
        <f>$C60*F60/100</f>
        <v>4669.07</v>
      </c>
      <c r="F60" s="317">
        <v>50</v>
      </c>
      <c r="G60" s="315">
        <f>$C60*H60/100</f>
        <v>2801.44</v>
      </c>
      <c r="H60" s="314">
        <v>30</v>
      </c>
      <c r="I60" s="315">
        <f>$C60*J60/100</f>
        <v>1867.63</v>
      </c>
      <c r="J60" s="317">
        <v>20</v>
      </c>
      <c r="K60" s="315"/>
      <c r="L60" s="317"/>
      <c r="M60" s="315"/>
      <c r="N60" s="317"/>
      <c r="O60" s="315"/>
      <c r="P60" s="317"/>
      <c r="Q60" s="315">
        <f t="shared" si="15"/>
        <v>9338.14</v>
      </c>
      <c r="R60" s="314">
        <f t="shared" si="15"/>
        <v>100</v>
      </c>
      <c r="T60" s="340">
        <f t="shared" si="0"/>
        <v>0</v>
      </c>
    </row>
    <row r="61" spans="1:20" s="346" customFormat="1" x14ac:dyDescent="0.2">
      <c r="A61" s="304" t="str">
        <f>Resumo!A16</f>
        <v>3.2</v>
      </c>
      <c r="B61" s="348" t="str">
        <f>Resumo!B16</f>
        <v>PAVIMENTAÇÃO</v>
      </c>
      <c r="C61" s="310"/>
      <c r="D61" s="316"/>
      <c r="E61" s="315"/>
      <c r="F61" s="317"/>
      <c r="G61" s="315"/>
      <c r="H61" s="314"/>
      <c r="I61" s="315"/>
      <c r="J61" s="317"/>
      <c r="K61" s="315"/>
      <c r="L61" s="317"/>
      <c r="M61" s="315"/>
      <c r="N61" s="317"/>
      <c r="O61" s="315"/>
      <c r="P61" s="317"/>
      <c r="Q61" s="315"/>
      <c r="R61" s="314"/>
      <c r="T61" s="340">
        <f t="shared" si="0"/>
        <v>0</v>
      </c>
    </row>
    <row r="62" spans="1:20" s="346" customFormat="1" ht="25.5" x14ac:dyDescent="0.2">
      <c r="A62" s="308" t="str">
        <f>Orçam.!A22</f>
        <v>3.2.1</v>
      </c>
      <c r="B62" s="349" t="str">
        <f>Orçam.!D22</f>
        <v>REGULARIZAÇÃO E COMPACTAÇÃO DE SUBLEITO DE SOLO PREDOMINANTEMENTE ARENOSO. AF_11/2019</v>
      </c>
      <c r="C62" s="321">
        <f>Orçam.!I22</f>
        <v>6628.67</v>
      </c>
      <c r="D62" s="322" t="e">
        <f t="shared" ref="D62:D73" si="16">C62/$C$85</f>
        <v>#REF!</v>
      </c>
      <c r="E62" s="315">
        <f t="shared" ref="E62:E73" si="17">$C62*F62/100</f>
        <v>331.43</v>
      </c>
      <c r="F62" s="317">
        <v>5</v>
      </c>
      <c r="G62" s="315">
        <f t="shared" ref="G62:G73" si="18">$C62*H62/100</f>
        <v>1325.73</v>
      </c>
      <c r="H62" s="314">
        <v>20</v>
      </c>
      <c r="I62" s="315">
        <f t="shared" ref="I62:I73" si="19">$C62*J62/100</f>
        <v>1325.73</v>
      </c>
      <c r="J62" s="317">
        <v>20</v>
      </c>
      <c r="K62" s="315">
        <f t="shared" ref="K62:K73" si="20">$C62*L62/100</f>
        <v>1988.6</v>
      </c>
      <c r="L62" s="317">
        <v>30</v>
      </c>
      <c r="M62" s="315">
        <f t="shared" ref="M62:M73" si="21">$C62*N62/100</f>
        <v>994.3</v>
      </c>
      <c r="N62" s="317">
        <v>15</v>
      </c>
      <c r="O62" s="315">
        <f>$C62*P62/100-0.01</f>
        <v>662.86</v>
      </c>
      <c r="P62" s="317">
        <v>10</v>
      </c>
      <c r="Q62" s="315">
        <f t="shared" ref="Q62:Q73" si="22">E62+G62+I62+K62+M62+O62</f>
        <v>6628.65</v>
      </c>
      <c r="R62" s="314">
        <f t="shared" si="15"/>
        <v>100</v>
      </c>
      <c r="T62" s="340">
        <f t="shared" si="0"/>
        <v>0.02</v>
      </c>
    </row>
    <row r="63" spans="1:20" s="346" customFormat="1" ht="38.25" x14ac:dyDescent="0.2">
      <c r="A63" s="308" t="str">
        <f>Orçam.!A23</f>
        <v>3.2.2</v>
      </c>
      <c r="B63" s="349" t="str">
        <f>Orçam.!D23</f>
        <v>ESCAVACAO E CARGA MATERIAL 1A CATEGORIA, UTILIZANDO TRATOR DE ESTEIRAS DE 110 A 160HP COM LAMINA, PESO OPERACIONAL * 13T E PA CARREGADEIRA COM 170 HP.</v>
      </c>
      <c r="C63" s="321">
        <f>Orçam.!I23</f>
        <v>9646.4699999999993</v>
      </c>
      <c r="D63" s="322" t="e">
        <f t="shared" si="16"/>
        <v>#REF!</v>
      </c>
      <c r="E63" s="315">
        <f t="shared" si="17"/>
        <v>482.32</v>
      </c>
      <c r="F63" s="317">
        <v>5</v>
      </c>
      <c r="G63" s="315">
        <f t="shared" si="18"/>
        <v>1929.29</v>
      </c>
      <c r="H63" s="314">
        <v>20</v>
      </c>
      <c r="I63" s="315">
        <f t="shared" si="19"/>
        <v>1929.29</v>
      </c>
      <c r="J63" s="317">
        <v>20</v>
      </c>
      <c r="K63" s="315">
        <f t="shared" si="20"/>
        <v>2893.94</v>
      </c>
      <c r="L63" s="317">
        <v>30</v>
      </c>
      <c r="M63" s="315">
        <f t="shared" si="21"/>
        <v>1446.97</v>
      </c>
      <c r="N63" s="317">
        <v>15</v>
      </c>
      <c r="O63" s="315">
        <f>$C63*P63/100-0.01</f>
        <v>964.64</v>
      </c>
      <c r="P63" s="317">
        <v>10</v>
      </c>
      <c r="Q63" s="315">
        <f t="shared" si="22"/>
        <v>9646.4500000000007</v>
      </c>
      <c r="R63" s="314">
        <f t="shared" si="15"/>
        <v>100</v>
      </c>
      <c r="T63" s="340">
        <f t="shared" si="0"/>
        <v>0.02</v>
      </c>
    </row>
    <row r="64" spans="1:20" s="346" customFormat="1" ht="38.25" x14ac:dyDescent="0.2">
      <c r="A64" s="308" t="str">
        <f>Orçam.!A24</f>
        <v>3.2.3</v>
      </c>
      <c r="B64" s="349" t="str">
        <f>Orçam.!D24</f>
        <v>TRANSPORTE COM CAMINHÃO BASCULANTE DE 10 M3, EM VIA URBANA EM REVESTIM ENTO PRIMÁRIO (UNIDADE: M3XKM). AF_04/2016  - MAT JAZIDA DMT= 1,16 KM</v>
      </c>
      <c r="C64" s="321">
        <f>Orçam.!I24</f>
        <v>4709.68</v>
      </c>
      <c r="D64" s="322" t="e">
        <f t="shared" si="16"/>
        <v>#REF!</v>
      </c>
      <c r="E64" s="315">
        <f t="shared" si="17"/>
        <v>235.48</v>
      </c>
      <c r="F64" s="317">
        <v>5</v>
      </c>
      <c r="G64" s="315">
        <f t="shared" si="18"/>
        <v>941.94</v>
      </c>
      <c r="H64" s="314">
        <v>20</v>
      </c>
      <c r="I64" s="315">
        <f t="shared" si="19"/>
        <v>941.94</v>
      </c>
      <c r="J64" s="317">
        <v>20</v>
      </c>
      <c r="K64" s="315">
        <f t="shared" si="20"/>
        <v>1412.9</v>
      </c>
      <c r="L64" s="317">
        <v>30</v>
      </c>
      <c r="M64" s="315">
        <f t="shared" si="21"/>
        <v>706.45</v>
      </c>
      <c r="N64" s="317">
        <v>15</v>
      </c>
      <c r="O64" s="315">
        <f>$C64*P64/100</f>
        <v>470.97</v>
      </c>
      <c r="P64" s="317">
        <v>10</v>
      </c>
      <c r="Q64" s="315">
        <f t="shared" si="22"/>
        <v>4709.68</v>
      </c>
      <c r="R64" s="314">
        <f t="shared" si="15"/>
        <v>100</v>
      </c>
      <c r="T64" s="340">
        <f t="shared" si="0"/>
        <v>0</v>
      </c>
    </row>
    <row r="65" spans="1:20" s="346" customFormat="1" ht="25.5" x14ac:dyDescent="0.2">
      <c r="A65" s="308" t="str">
        <f>Orçam.!A26</f>
        <v>3.2.5</v>
      </c>
      <c r="B65" s="349" t="str">
        <f>Orçam.!D26</f>
        <v>SUB-BASE DE SOLO ESTABILIZADO GRANULOMETRICAMENTE SEM MISTURA COM MATERIAL DE JAZIDA</v>
      </c>
      <c r="C65" s="321">
        <f>Orçam.!I26</f>
        <v>16379.73</v>
      </c>
      <c r="D65" s="322" t="e">
        <f t="shared" si="16"/>
        <v>#REF!</v>
      </c>
      <c r="E65" s="315">
        <f t="shared" si="17"/>
        <v>818.99</v>
      </c>
      <c r="F65" s="317">
        <v>5</v>
      </c>
      <c r="G65" s="315">
        <f t="shared" si="18"/>
        <v>3275.95</v>
      </c>
      <c r="H65" s="314">
        <v>20</v>
      </c>
      <c r="I65" s="315">
        <f t="shared" si="19"/>
        <v>3275.95</v>
      </c>
      <c r="J65" s="317">
        <v>20</v>
      </c>
      <c r="K65" s="315">
        <f t="shared" si="20"/>
        <v>4913.92</v>
      </c>
      <c r="L65" s="317">
        <v>30</v>
      </c>
      <c r="M65" s="315">
        <f t="shared" si="21"/>
        <v>2456.96</v>
      </c>
      <c r="N65" s="317">
        <v>15</v>
      </c>
      <c r="O65" s="315">
        <f>$C65*P65/100</f>
        <v>1637.97</v>
      </c>
      <c r="P65" s="317">
        <v>10</v>
      </c>
      <c r="Q65" s="315">
        <f t="shared" si="22"/>
        <v>16379.74</v>
      </c>
      <c r="R65" s="314">
        <f t="shared" si="15"/>
        <v>100</v>
      </c>
      <c r="T65" s="340">
        <f t="shared" si="0"/>
        <v>-0.01</v>
      </c>
    </row>
    <row r="66" spans="1:20" s="346" customFormat="1" ht="25.5" x14ac:dyDescent="0.2">
      <c r="A66" s="308" t="str">
        <f>Orçam.!A27</f>
        <v>3.2.6</v>
      </c>
      <c r="B66" s="349" t="str">
        <f>Orçam.!D27</f>
        <v>BASE ESTABILIZADA GRANULOMETRICAMENTE COM MISTURA DE SOLOS NA PISTA COM MATERIAL DE JAZIDA</v>
      </c>
      <c r="C66" s="321">
        <f>Orçam.!I27</f>
        <v>12965.25</v>
      </c>
      <c r="D66" s="322" t="e">
        <f t="shared" si="16"/>
        <v>#REF!</v>
      </c>
      <c r="E66" s="315">
        <f t="shared" si="17"/>
        <v>648.26</v>
      </c>
      <c r="F66" s="317">
        <v>5</v>
      </c>
      <c r="G66" s="315">
        <f t="shared" si="18"/>
        <v>2593.0500000000002</v>
      </c>
      <c r="H66" s="314">
        <v>20</v>
      </c>
      <c r="I66" s="315">
        <f t="shared" si="19"/>
        <v>2593.0500000000002</v>
      </c>
      <c r="J66" s="317">
        <v>20</v>
      </c>
      <c r="K66" s="315">
        <f t="shared" si="20"/>
        <v>3889.58</v>
      </c>
      <c r="L66" s="317">
        <v>30</v>
      </c>
      <c r="M66" s="315">
        <f t="shared" si="21"/>
        <v>1944.79</v>
      </c>
      <c r="N66" s="317">
        <v>15</v>
      </c>
      <c r="O66" s="315">
        <f>$C66*P66/100+0.01</f>
        <v>1296.54</v>
      </c>
      <c r="P66" s="317">
        <v>10</v>
      </c>
      <c r="Q66" s="315">
        <f t="shared" si="22"/>
        <v>12965.27</v>
      </c>
      <c r="R66" s="314">
        <f>F66+H66+J66+L66+N66+P66</f>
        <v>100</v>
      </c>
      <c r="T66" s="340">
        <f t="shared" si="0"/>
        <v>-0.02</v>
      </c>
    </row>
    <row r="67" spans="1:20" s="346" customFormat="1" x14ac:dyDescent="0.2">
      <c r="A67" s="308" t="str">
        <f>Orçam.!A28</f>
        <v>3.2.7</v>
      </c>
      <c r="B67" s="349" t="str">
        <f>Orçam.!D28</f>
        <v>EXECUÇÃO DE IMPRIMAÇÃO COM ASFALTO DILUÍDO CM-30. AF_11/2019</v>
      </c>
      <c r="C67" s="321">
        <f>Orçam.!I28</f>
        <v>60726.39</v>
      </c>
      <c r="D67" s="322" t="e">
        <f t="shared" si="16"/>
        <v>#REF!</v>
      </c>
      <c r="E67" s="315">
        <f t="shared" si="17"/>
        <v>3036.32</v>
      </c>
      <c r="F67" s="317">
        <v>5</v>
      </c>
      <c r="G67" s="315">
        <f t="shared" si="18"/>
        <v>12145.28</v>
      </c>
      <c r="H67" s="314">
        <v>20</v>
      </c>
      <c r="I67" s="315">
        <f t="shared" si="19"/>
        <v>12145.28</v>
      </c>
      <c r="J67" s="317">
        <v>20</v>
      </c>
      <c r="K67" s="315">
        <f t="shared" si="20"/>
        <v>18217.919999999998</v>
      </c>
      <c r="L67" s="317">
        <v>30</v>
      </c>
      <c r="M67" s="315">
        <f t="shared" si="21"/>
        <v>9108.9599999999991</v>
      </c>
      <c r="N67" s="317">
        <v>15</v>
      </c>
      <c r="O67" s="315">
        <f>$C67*P67/100</f>
        <v>6072.64</v>
      </c>
      <c r="P67" s="317">
        <v>10</v>
      </c>
      <c r="Q67" s="315">
        <f t="shared" si="22"/>
        <v>60726.400000000001</v>
      </c>
      <c r="R67" s="314">
        <f t="shared" si="15"/>
        <v>100</v>
      </c>
      <c r="T67" s="340">
        <f t="shared" si="0"/>
        <v>-0.01</v>
      </c>
    </row>
    <row r="68" spans="1:20" s="346" customFormat="1" ht="25.5" x14ac:dyDescent="0.2">
      <c r="A68" s="308" t="str">
        <f>Orçam.!A29</f>
        <v>3.2.8</v>
      </c>
      <c r="B68" s="349" t="str">
        <f>Orçam.!D29</f>
        <v>PAVIMENTO COM TRATAMENTO SUPERFICIAL DUPLO, COM EMULSÃO ASFÁLTICA RR-2C, COM CAPA SELANTE. AF_01/2020</v>
      </c>
      <c r="C68" s="321">
        <f>Orçam.!I29</f>
        <v>108423.06</v>
      </c>
      <c r="D68" s="322" t="e">
        <f t="shared" si="16"/>
        <v>#REF!</v>
      </c>
      <c r="E68" s="315">
        <f t="shared" si="17"/>
        <v>5421.15</v>
      </c>
      <c r="F68" s="317">
        <v>5</v>
      </c>
      <c r="G68" s="315">
        <f t="shared" si="18"/>
        <v>21684.61</v>
      </c>
      <c r="H68" s="314">
        <v>20</v>
      </c>
      <c r="I68" s="315">
        <f t="shared" si="19"/>
        <v>21684.61</v>
      </c>
      <c r="J68" s="317">
        <v>20</v>
      </c>
      <c r="K68" s="315">
        <f t="shared" si="20"/>
        <v>32526.92</v>
      </c>
      <c r="L68" s="317">
        <v>30</v>
      </c>
      <c r="M68" s="315">
        <f t="shared" si="21"/>
        <v>16263.46</v>
      </c>
      <c r="N68" s="317">
        <v>15</v>
      </c>
      <c r="O68" s="315">
        <f>$C68*P68/100</f>
        <v>10842.31</v>
      </c>
      <c r="P68" s="317">
        <v>10</v>
      </c>
      <c r="Q68" s="315">
        <f t="shared" si="22"/>
        <v>108423.06</v>
      </c>
      <c r="R68" s="314">
        <f t="shared" si="15"/>
        <v>100</v>
      </c>
      <c r="T68" s="340">
        <f t="shared" si="0"/>
        <v>0</v>
      </c>
    </row>
    <row r="69" spans="1:20" s="346" customFormat="1" x14ac:dyDescent="0.2">
      <c r="A69" s="308" t="e">
        <f>Orçam.!#REF!</f>
        <v>#REF!</v>
      </c>
      <c r="B69" s="349" t="e">
        <f>Orçam.!#REF!</f>
        <v>#REF!</v>
      </c>
      <c r="C69" s="321" t="e">
        <f>Orçam.!#REF!</f>
        <v>#REF!</v>
      </c>
      <c r="D69" s="322" t="e">
        <f t="shared" si="16"/>
        <v>#REF!</v>
      </c>
      <c r="E69" s="315" t="e">
        <f t="shared" si="17"/>
        <v>#REF!</v>
      </c>
      <c r="F69" s="317">
        <v>5</v>
      </c>
      <c r="G69" s="315" t="e">
        <f t="shared" si="18"/>
        <v>#REF!</v>
      </c>
      <c r="H69" s="314">
        <v>20</v>
      </c>
      <c r="I69" s="315" t="e">
        <f t="shared" si="19"/>
        <v>#REF!</v>
      </c>
      <c r="J69" s="317">
        <v>20</v>
      </c>
      <c r="K69" s="315" t="e">
        <f t="shared" si="20"/>
        <v>#REF!</v>
      </c>
      <c r="L69" s="317">
        <v>30</v>
      </c>
      <c r="M69" s="315" t="e">
        <f t="shared" si="21"/>
        <v>#REF!</v>
      </c>
      <c r="N69" s="317">
        <v>15</v>
      </c>
      <c r="O69" s="315" t="e">
        <f>$C69*P69/100</f>
        <v>#REF!</v>
      </c>
      <c r="P69" s="317">
        <v>10</v>
      </c>
      <c r="Q69" s="315" t="e">
        <f t="shared" si="22"/>
        <v>#REF!</v>
      </c>
      <c r="R69" s="314">
        <f t="shared" si="15"/>
        <v>100</v>
      </c>
      <c r="T69" s="340" t="e">
        <f>C69-Q69</f>
        <v>#REF!</v>
      </c>
    </row>
    <row r="70" spans="1:20" s="346" customFormat="1" x14ac:dyDescent="0.2">
      <c r="A70" s="308" t="e">
        <f>Orçam.!#REF!</f>
        <v>#REF!</v>
      </c>
      <c r="B70" s="349" t="e">
        <f>Orçam.!#REF!</f>
        <v>#REF!</v>
      </c>
      <c r="C70" s="321" t="e">
        <f>Orçam.!#REF!</f>
        <v>#REF!</v>
      </c>
      <c r="D70" s="322" t="e">
        <f t="shared" si="16"/>
        <v>#REF!</v>
      </c>
      <c r="E70" s="315" t="e">
        <f t="shared" si="17"/>
        <v>#REF!</v>
      </c>
      <c r="F70" s="317">
        <v>5</v>
      </c>
      <c r="G70" s="315" t="e">
        <f t="shared" si="18"/>
        <v>#REF!</v>
      </c>
      <c r="H70" s="314">
        <v>20</v>
      </c>
      <c r="I70" s="315" t="e">
        <f t="shared" si="19"/>
        <v>#REF!</v>
      </c>
      <c r="J70" s="317">
        <v>20</v>
      </c>
      <c r="K70" s="315" t="e">
        <f t="shared" si="20"/>
        <v>#REF!</v>
      </c>
      <c r="L70" s="317">
        <v>30</v>
      </c>
      <c r="M70" s="315" t="e">
        <f t="shared" si="21"/>
        <v>#REF!</v>
      </c>
      <c r="N70" s="317">
        <v>15</v>
      </c>
      <c r="O70" s="315" t="e">
        <f>$C70*P70/100+0.01</f>
        <v>#REF!</v>
      </c>
      <c r="P70" s="317">
        <v>10</v>
      </c>
      <c r="Q70" s="315" t="e">
        <f t="shared" si="22"/>
        <v>#REF!</v>
      </c>
      <c r="R70" s="314">
        <f t="shared" si="15"/>
        <v>100</v>
      </c>
      <c r="T70" s="340" t="e">
        <f t="shared" si="0"/>
        <v>#REF!</v>
      </c>
    </row>
    <row r="71" spans="1:20" s="346" customFormat="1" x14ac:dyDescent="0.2">
      <c r="A71" s="308" t="e">
        <f>Orçam.!#REF!</f>
        <v>#REF!</v>
      </c>
      <c r="B71" s="349" t="e">
        <f>Orçam.!#REF!</f>
        <v>#REF!</v>
      </c>
      <c r="C71" s="321" t="e">
        <f>Orçam.!#REF!</f>
        <v>#REF!</v>
      </c>
      <c r="D71" s="322" t="e">
        <f t="shared" si="16"/>
        <v>#REF!</v>
      </c>
      <c r="E71" s="315" t="e">
        <f t="shared" si="17"/>
        <v>#REF!</v>
      </c>
      <c r="F71" s="317">
        <v>5</v>
      </c>
      <c r="G71" s="315" t="e">
        <f t="shared" si="18"/>
        <v>#REF!</v>
      </c>
      <c r="H71" s="314">
        <v>20</v>
      </c>
      <c r="I71" s="315" t="e">
        <f t="shared" si="19"/>
        <v>#REF!</v>
      </c>
      <c r="J71" s="317">
        <v>20</v>
      </c>
      <c r="K71" s="315" t="e">
        <f t="shared" si="20"/>
        <v>#REF!</v>
      </c>
      <c r="L71" s="317">
        <v>30</v>
      </c>
      <c r="M71" s="315" t="e">
        <f t="shared" si="21"/>
        <v>#REF!</v>
      </c>
      <c r="N71" s="317">
        <v>15</v>
      </c>
      <c r="O71" s="315" t="e">
        <f>$C71*P71/100</f>
        <v>#REF!</v>
      </c>
      <c r="P71" s="317">
        <v>10</v>
      </c>
      <c r="Q71" s="315" t="e">
        <f t="shared" si="22"/>
        <v>#REF!</v>
      </c>
      <c r="R71" s="314">
        <f>F71+H71+J71+L71+N71+P71</f>
        <v>100</v>
      </c>
      <c r="T71" s="340" t="e">
        <f t="shared" si="0"/>
        <v>#REF!</v>
      </c>
    </row>
    <row r="72" spans="1:20" s="346" customFormat="1" ht="51" x14ac:dyDescent="0.2">
      <c r="A72" s="308" t="str">
        <f>Orçam.!A30</f>
        <v>3.2.9</v>
      </c>
      <c r="B72" s="349" t="str">
        <f>Orçam.!D30</f>
        <v>TRANSPORTE DE MATERIAL ASFALTICO, COM CAMINHÃO COM CAPACIDADE DE 30000L EM RODOVIA PAVIMENTADA PARA DISTÂNCIAS MÉDIAS DE TRANSPORTE SUPERIORES A 100 KM. AF_02/2016 - DMT=180,0 KM - CUIABA À BARRA DO BUGRES</v>
      </c>
      <c r="C72" s="321">
        <f>Orçam.!I30</f>
        <v>5287.61</v>
      </c>
      <c r="D72" s="322" t="e">
        <f t="shared" si="16"/>
        <v>#REF!</v>
      </c>
      <c r="E72" s="315">
        <f t="shared" si="17"/>
        <v>264.38</v>
      </c>
      <c r="F72" s="317">
        <v>5</v>
      </c>
      <c r="G72" s="315">
        <f t="shared" si="18"/>
        <v>1057.52</v>
      </c>
      <c r="H72" s="314">
        <v>20</v>
      </c>
      <c r="I72" s="315">
        <f t="shared" si="19"/>
        <v>1057.52</v>
      </c>
      <c r="J72" s="317">
        <v>20</v>
      </c>
      <c r="K72" s="315">
        <f t="shared" si="20"/>
        <v>1586.28</v>
      </c>
      <c r="L72" s="317">
        <v>30</v>
      </c>
      <c r="M72" s="315">
        <f t="shared" si="21"/>
        <v>793.14</v>
      </c>
      <c r="N72" s="317">
        <v>15</v>
      </c>
      <c r="O72" s="315">
        <f>$C72*P72/100-0.01</f>
        <v>528.75</v>
      </c>
      <c r="P72" s="317">
        <v>10</v>
      </c>
      <c r="Q72" s="315">
        <f t="shared" si="22"/>
        <v>5287.59</v>
      </c>
      <c r="R72" s="314">
        <f t="shared" si="15"/>
        <v>100</v>
      </c>
      <c r="T72" s="340">
        <f t="shared" si="0"/>
        <v>0.02</v>
      </c>
    </row>
    <row r="73" spans="1:20" s="346" customFormat="1" ht="25.5" x14ac:dyDescent="0.2">
      <c r="A73" s="308" t="str">
        <f>Orçam.!A31</f>
        <v>3.2.10</v>
      </c>
      <c r="B73" s="349" t="str">
        <f>Orçam.!D31</f>
        <v>TRANSPORTE COMERCIAL DE BRITA. DMT=  75,20 KM - JAZIDA - BARRA DO BUGRES</v>
      </c>
      <c r="C73" s="321">
        <f>Orçam.!I31</f>
        <v>16130.28</v>
      </c>
      <c r="D73" s="322" t="e">
        <f t="shared" si="16"/>
        <v>#REF!</v>
      </c>
      <c r="E73" s="315">
        <f t="shared" si="17"/>
        <v>806.51</v>
      </c>
      <c r="F73" s="317">
        <v>5</v>
      </c>
      <c r="G73" s="315">
        <f t="shared" si="18"/>
        <v>3226.06</v>
      </c>
      <c r="H73" s="314">
        <v>20</v>
      </c>
      <c r="I73" s="315">
        <f t="shared" si="19"/>
        <v>3226.06</v>
      </c>
      <c r="J73" s="317">
        <v>20</v>
      </c>
      <c r="K73" s="315">
        <f t="shared" si="20"/>
        <v>4839.08</v>
      </c>
      <c r="L73" s="317">
        <v>30</v>
      </c>
      <c r="M73" s="315">
        <f t="shared" si="21"/>
        <v>2419.54</v>
      </c>
      <c r="N73" s="317">
        <v>15</v>
      </c>
      <c r="O73" s="315">
        <f>$C73*P73/100-0.01</f>
        <v>1613.02</v>
      </c>
      <c r="P73" s="317">
        <v>10</v>
      </c>
      <c r="Q73" s="315">
        <f t="shared" si="22"/>
        <v>16130.27</v>
      </c>
      <c r="R73" s="314">
        <f>F73+H73+J73+L73+N73+P73</f>
        <v>100</v>
      </c>
      <c r="T73" s="340">
        <f t="shared" si="0"/>
        <v>0.01</v>
      </c>
    </row>
    <row r="74" spans="1:20" s="346" customFormat="1" x14ac:dyDescent="0.2">
      <c r="A74" s="304" t="str">
        <f>Resumo!A17</f>
        <v>3.3</v>
      </c>
      <c r="B74" s="348" t="str">
        <f>Resumo!B17</f>
        <v>OBRAS COMPLEMENTARES</v>
      </c>
      <c r="C74" s="310"/>
      <c r="D74" s="316"/>
      <c r="E74" s="315"/>
      <c r="F74" s="317"/>
      <c r="G74" s="315"/>
      <c r="H74" s="314"/>
      <c r="I74" s="315"/>
      <c r="J74" s="317"/>
      <c r="K74" s="315"/>
      <c r="L74" s="317"/>
      <c r="M74" s="315"/>
      <c r="N74" s="317"/>
      <c r="O74" s="315"/>
      <c r="P74" s="317"/>
      <c r="Q74" s="315"/>
      <c r="R74" s="314"/>
      <c r="T74" s="340">
        <f t="shared" si="0"/>
        <v>0</v>
      </c>
    </row>
    <row r="75" spans="1:20" s="346" customFormat="1" x14ac:dyDescent="0.2">
      <c r="A75" s="307" t="e">
        <f>Orçam.!#REF!</f>
        <v>#REF!</v>
      </c>
      <c r="B75" s="349" t="e">
        <f>Orçam.!#REF!</f>
        <v>#REF!</v>
      </c>
      <c r="C75" s="315" t="e">
        <f>Orçam.!#REF!</f>
        <v>#REF!</v>
      </c>
      <c r="D75" s="316" t="e">
        <f>C75/$C$85</f>
        <v>#REF!</v>
      </c>
      <c r="E75" s="315"/>
      <c r="F75" s="317"/>
      <c r="G75" s="315"/>
      <c r="H75" s="314"/>
      <c r="I75" s="315" t="e">
        <f>$C75*J75/100</f>
        <v>#REF!</v>
      </c>
      <c r="J75" s="317">
        <v>20</v>
      </c>
      <c r="K75" s="315" t="e">
        <f>$C75*L75/100</f>
        <v>#REF!</v>
      </c>
      <c r="L75" s="317">
        <v>40</v>
      </c>
      <c r="M75" s="315" t="e">
        <f>$C75*N75/100</f>
        <v>#REF!</v>
      </c>
      <c r="N75" s="317">
        <v>20</v>
      </c>
      <c r="O75" s="315" t="e">
        <f>$C75*P75/100-0.01</f>
        <v>#REF!</v>
      </c>
      <c r="P75" s="317">
        <v>20</v>
      </c>
      <c r="Q75" s="315" t="e">
        <f t="shared" ref="Q75:R77" si="23">E75+G75+I75+K75+M75+O75</f>
        <v>#REF!</v>
      </c>
      <c r="R75" s="314">
        <f t="shared" si="23"/>
        <v>100</v>
      </c>
      <c r="T75" s="340" t="e">
        <f t="shared" si="0"/>
        <v>#REF!</v>
      </c>
    </row>
    <row r="76" spans="1:20" s="346" customFormat="1" ht="51" x14ac:dyDescent="0.2">
      <c r="A76" s="307" t="str">
        <f>Orçam.!A34</f>
        <v>3.3.1</v>
      </c>
      <c r="B76" s="349" t="str">
        <f>Orçam.!D34</f>
        <v>GUIA (MEIO-FIO) E SARJETA CONJUGADOS DE CONCRETO, MOLDADA IN LOCO EM TRECHO RETO COM EXTRUSORA, 45 CM BASE (15 CM BASE DA GUIA + 30 CM BASE DA SARJETA) X 22 CM ALTURA. AF_06/2016</v>
      </c>
      <c r="C76" s="315">
        <f>Orçam.!I34</f>
        <v>86596.71</v>
      </c>
      <c r="D76" s="316" t="e">
        <f>C76/$C$85</f>
        <v>#REF!</v>
      </c>
      <c r="E76" s="315"/>
      <c r="F76" s="317"/>
      <c r="G76" s="315"/>
      <c r="H76" s="314"/>
      <c r="I76" s="315">
        <f>$C76*J76/100</f>
        <v>17319.34</v>
      </c>
      <c r="J76" s="317">
        <v>20</v>
      </c>
      <c r="K76" s="315">
        <f>$C76*L76/100</f>
        <v>34638.68</v>
      </c>
      <c r="L76" s="317">
        <v>40</v>
      </c>
      <c r="M76" s="315">
        <f>$C76*N76/100</f>
        <v>17319.34</v>
      </c>
      <c r="N76" s="317">
        <v>20</v>
      </c>
      <c r="O76" s="315">
        <f>$C76*P76/100-0.01</f>
        <v>17319.330000000002</v>
      </c>
      <c r="P76" s="317">
        <v>20</v>
      </c>
      <c r="Q76" s="315">
        <f t="shared" si="23"/>
        <v>86596.69</v>
      </c>
      <c r="R76" s="314">
        <f t="shared" si="23"/>
        <v>100</v>
      </c>
      <c r="T76" s="340">
        <f t="shared" si="0"/>
        <v>0.02</v>
      </c>
    </row>
    <row r="77" spans="1:20" s="346" customFormat="1" ht="38.25" x14ac:dyDescent="0.2">
      <c r="A77" s="307" t="str">
        <f>Orçam.!A37</f>
        <v>3.3.4</v>
      </c>
      <c r="B77" s="349" t="str">
        <f>Orçam.!D37</f>
        <v>EXECUÇÃO DE PASSEIO (CALÇADA) OU PISO DE CONCRETO COM CONCRETO MOLDADO IN LOCO, FEITO EM OBRA, ACABAMENTO CONVENCIONAL, NÃO ARMADO. AF_07/2016</v>
      </c>
      <c r="C77" s="315">
        <f>Orçam.!I37</f>
        <v>96306.29</v>
      </c>
      <c r="D77" s="316" t="e">
        <f>C77/$C$85</f>
        <v>#REF!</v>
      </c>
      <c r="E77" s="315"/>
      <c r="F77" s="317"/>
      <c r="G77" s="315"/>
      <c r="H77" s="314"/>
      <c r="I77" s="315">
        <f>$C77*J77/100</f>
        <v>0</v>
      </c>
      <c r="J77" s="317"/>
      <c r="K77" s="315">
        <f>$C77*L77/100</f>
        <v>0</v>
      </c>
      <c r="L77" s="317"/>
      <c r="M77" s="315">
        <f>$C77*N77/100</f>
        <v>48153.15</v>
      </c>
      <c r="N77" s="317">
        <v>50</v>
      </c>
      <c r="O77" s="315">
        <f>$C77*P77/100-0.01</f>
        <v>48153.14</v>
      </c>
      <c r="P77" s="317">
        <v>50</v>
      </c>
      <c r="Q77" s="315">
        <f t="shared" si="23"/>
        <v>96306.29</v>
      </c>
      <c r="R77" s="314">
        <f t="shared" si="23"/>
        <v>100</v>
      </c>
      <c r="T77" s="340">
        <f>C77-Q77</f>
        <v>0</v>
      </c>
    </row>
    <row r="78" spans="1:20" s="346" customFormat="1" x14ac:dyDescent="0.2">
      <c r="A78" s="304" t="str">
        <f>Resumo!A23</f>
        <v>3.4</v>
      </c>
      <c r="B78" s="348" t="str">
        <f>Resumo!B23</f>
        <v>SINALIZAÇÃO VIÁRIA</v>
      </c>
      <c r="C78" s="310"/>
      <c r="D78" s="316"/>
      <c r="E78" s="315"/>
      <c r="F78" s="317"/>
      <c r="G78" s="315"/>
      <c r="H78" s="314"/>
      <c r="I78" s="315"/>
      <c r="J78" s="317"/>
      <c r="K78" s="315"/>
      <c r="L78" s="317"/>
      <c r="M78" s="315"/>
      <c r="N78" s="317"/>
      <c r="O78" s="315"/>
      <c r="P78" s="317"/>
      <c r="Q78" s="315"/>
      <c r="R78" s="314"/>
      <c r="T78" s="340">
        <f t="shared" ref="T78:T83" si="24">C78-Q78</f>
        <v>0</v>
      </c>
    </row>
    <row r="79" spans="1:20" s="346" customFormat="1" x14ac:dyDescent="0.2">
      <c r="A79" s="309" t="str">
        <f>Orçam.!A41</f>
        <v>3.4.1</v>
      </c>
      <c r="B79" s="350" t="str">
        <f>Orçam.!D41</f>
        <v>CONFECÇÃO DE SUPORTE E TRAVESSA PARA PLACA DE SINALIZAÇÃO</v>
      </c>
      <c r="C79" s="315">
        <f>Orçam.!I41</f>
        <v>3178.84</v>
      </c>
      <c r="D79" s="316" t="e">
        <f>C79/$C$85</f>
        <v>#REF!</v>
      </c>
      <c r="E79" s="315"/>
      <c r="F79" s="317"/>
      <c r="G79" s="315"/>
      <c r="H79" s="314"/>
      <c r="I79" s="315"/>
      <c r="J79" s="317"/>
      <c r="K79" s="315">
        <f>$C79*L79/100</f>
        <v>635.77</v>
      </c>
      <c r="L79" s="317">
        <v>20</v>
      </c>
      <c r="M79" s="315">
        <f>$C79*N79/100</f>
        <v>1271.54</v>
      </c>
      <c r="N79" s="317">
        <v>40</v>
      </c>
      <c r="O79" s="315">
        <f>$C79*P79/100-0.01</f>
        <v>1271.53</v>
      </c>
      <c r="P79" s="317">
        <v>40</v>
      </c>
      <c r="Q79" s="315">
        <f>E79+G79+I79+K79+M79+O79+0.01</f>
        <v>3178.85</v>
      </c>
      <c r="R79" s="314">
        <f>F79+H79+J79+L79+N79+P79</f>
        <v>100</v>
      </c>
      <c r="T79" s="340">
        <f t="shared" si="24"/>
        <v>-0.01</v>
      </c>
    </row>
    <row r="80" spans="1:20" s="346" customFormat="1" x14ac:dyDescent="0.2">
      <c r="A80" s="309" t="e">
        <f>Orçam.!#REF!</f>
        <v>#REF!</v>
      </c>
      <c r="B80" s="350" t="e">
        <f>Orçam.!#REF!</f>
        <v>#REF!</v>
      </c>
      <c r="C80" s="315" t="e">
        <f>Orçam.!#REF!</f>
        <v>#REF!</v>
      </c>
      <c r="D80" s="316" t="e">
        <f>C80/$C$85</f>
        <v>#REF!</v>
      </c>
      <c r="E80" s="315"/>
      <c r="F80" s="317"/>
      <c r="G80" s="315"/>
      <c r="H80" s="314"/>
      <c r="I80" s="315"/>
      <c r="J80" s="317"/>
      <c r="K80" s="315" t="e">
        <f>$C80*L80/100</f>
        <v>#REF!</v>
      </c>
      <c r="L80" s="317">
        <v>20</v>
      </c>
      <c r="M80" s="315" t="e">
        <f>$C80*N80/100</f>
        <v>#REF!</v>
      </c>
      <c r="N80" s="317">
        <v>40</v>
      </c>
      <c r="O80" s="315" t="e">
        <f>$C80*P80/100-0.01</f>
        <v>#REF!</v>
      </c>
      <c r="P80" s="317">
        <v>40</v>
      </c>
      <c r="Q80" s="315" t="e">
        <f>E80+G80+I80+K80+M80+O80+0.01</f>
        <v>#REF!</v>
      </c>
      <c r="R80" s="314">
        <f>F80+H80+J80+L80+N80+P80</f>
        <v>100</v>
      </c>
      <c r="T80" s="340" t="e">
        <f t="shared" si="24"/>
        <v>#REF!</v>
      </c>
    </row>
    <row r="81" spans="1:20" s="346" customFormat="1" ht="25.5" x14ac:dyDescent="0.2">
      <c r="A81" s="309" t="str">
        <f>Orçam.!A43</f>
        <v>3.4.3</v>
      </c>
      <c r="B81" s="350" t="str">
        <f>Orçam.!D43</f>
        <v>FORNECIMENTO E IMPLANTAÇÃO DE PLACA DELINEADOR EM AÇO - 0,30 X 0,90 M - PELÍCULA RETRORREFLETIVA TIPO I + IV (NOME DE RUA)</v>
      </c>
      <c r="C81" s="315">
        <f>Orçam.!I43</f>
        <v>1784.64</v>
      </c>
      <c r="D81" s="316" t="e">
        <f>C81/$C$85</f>
        <v>#REF!</v>
      </c>
      <c r="E81" s="315"/>
      <c r="F81" s="317"/>
      <c r="G81" s="315"/>
      <c r="H81" s="314"/>
      <c r="I81" s="315"/>
      <c r="J81" s="317"/>
      <c r="K81" s="315">
        <f>$C81*L81/100</f>
        <v>356.93</v>
      </c>
      <c r="L81" s="317">
        <v>20</v>
      </c>
      <c r="M81" s="315">
        <f>$C81*N81/100</f>
        <v>713.86</v>
      </c>
      <c r="N81" s="317">
        <v>40</v>
      </c>
      <c r="O81" s="315">
        <f>$C81*P81/100</f>
        <v>713.86</v>
      </c>
      <c r="P81" s="317">
        <v>40</v>
      </c>
      <c r="Q81" s="315">
        <f>E81+G81+I81+K81+M81+O81+0.04</f>
        <v>1784.69</v>
      </c>
      <c r="R81" s="314">
        <f>F81+H81+J81+L81+N81+P81</f>
        <v>100</v>
      </c>
      <c r="T81" s="340">
        <f t="shared" si="24"/>
        <v>-0.05</v>
      </c>
    </row>
    <row r="82" spans="1:20" s="346" customFormat="1" x14ac:dyDescent="0.2">
      <c r="A82" s="309" t="e">
        <f>Orçam.!#REF!</f>
        <v>#REF!</v>
      </c>
      <c r="B82" s="350" t="e">
        <f>Orçam.!#REF!</f>
        <v>#REF!</v>
      </c>
      <c r="C82" s="315" t="e">
        <f>Orçam.!#REF!</f>
        <v>#REF!</v>
      </c>
      <c r="D82" s="316" t="e">
        <f>C82/$C$85</f>
        <v>#REF!</v>
      </c>
      <c r="E82" s="315"/>
      <c r="F82" s="317"/>
      <c r="G82" s="315"/>
      <c r="H82" s="314"/>
      <c r="I82" s="315"/>
      <c r="J82" s="317"/>
      <c r="K82" s="315" t="e">
        <f>$C82*L82/100</f>
        <v>#REF!</v>
      </c>
      <c r="L82" s="317">
        <v>20</v>
      </c>
      <c r="M82" s="315" t="e">
        <f>$C82*N82/100</f>
        <v>#REF!</v>
      </c>
      <c r="N82" s="317">
        <v>40</v>
      </c>
      <c r="O82" s="315" t="e">
        <f>$C82*P82/100-0.01</f>
        <v>#REF!</v>
      </c>
      <c r="P82" s="317">
        <v>40</v>
      </c>
      <c r="Q82" s="315" t="e">
        <f>E82+G82+I82+K82+M82+O82+0.01</f>
        <v>#REF!</v>
      </c>
      <c r="R82" s="314">
        <f>F82+H82+J82+L82+N82+P82</f>
        <v>100</v>
      </c>
      <c r="T82" s="340" t="e">
        <f t="shared" si="24"/>
        <v>#REF!</v>
      </c>
    </row>
    <row r="83" spans="1:20" s="346" customFormat="1" ht="25.5" x14ac:dyDescent="0.2">
      <c r="A83" s="309" t="str">
        <f>Orçam.!A44</f>
        <v>3.4.4</v>
      </c>
      <c r="B83" s="350" t="str">
        <f>Orçam.!D44</f>
        <v>SINALIZACAO HORIZONTAL COM TINTA RETRORREFLETIVA A BASE DE RESINA ACRILICA COM MICROESFERAS DE VIDRO</v>
      </c>
      <c r="C83" s="315">
        <f>Orçam.!I44</f>
        <v>6818.23</v>
      </c>
      <c r="D83" s="316" t="e">
        <f>C83/$C$85</f>
        <v>#REF!</v>
      </c>
      <c r="E83" s="315"/>
      <c r="F83" s="317"/>
      <c r="G83" s="315"/>
      <c r="H83" s="314"/>
      <c r="I83" s="315"/>
      <c r="J83" s="317"/>
      <c r="K83" s="315">
        <f>$C83*L83/100</f>
        <v>1363.65</v>
      </c>
      <c r="L83" s="317">
        <v>20</v>
      </c>
      <c r="M83" s="315">
        <f>$C83*N83/100</f>
        <v>2727.29</v>
      </c>
      <c r="N83" s="317">
        <v>40</v>
      </c>
      <c r="O83" s="315">
        <f>$C83*P83/100-0.01</f>
        <v>2727.28</v>
      </c>
      <c r="P83" s="317">
        <v>40</v>
      </c>
      <c r="Q83" s="315">
        <f>E83+G83+I83+K83+M83+O83+0.01</f>
        <v>6818.23</v>
      </c>
      <c r="R83" s="314">
        <f>F83+H83+J83+L83+N83+P83</f>
        <v>100</v>
      </c>
      <c r="T83" s="340">
        <f t="shared" si="24"/>
        <v>0</v>
      </c>
    </row>
    <row r="84" spans="1:20" s="346" customFormat="1" ht="13.5" thickBot="1" x14ac:dyDescent="0.25">
      <c r="A84" s="309"/>
      <c r="B84" s="351"/>
      <c r="C84" s="323"/>
      <c r="D84" s="324"/>
      <c r="E84" s="323"/>
      <c r="F84" s="325"/>
      <c r="G84" s="323"/>
      <c r="H84" s="326"/>
      <c r="I84" s="323"/>
      <c r="J84" s="326"/>
      <c r="K84" s="323"/>
      <c r="L84" s="326"/>
      <c r="M84" s="323"/>
      <c r="N84" s="326"/>
      <c r="O84" s="323"/>
      <c r="P84" s="326"/>
      <c r="Q84" s="323"/>
      <c r="R84" s="326"/>
    </row>
    <row r="85" spans="1:20" s="346" customFormat="1" ht="13.5" thickBot="1" x14ac:dyDescent="0.25">
      <c r="A85" s="1443" t="s">
        <v>17</v>
      </c>
      <c r="B85" s="1444"/>
      <c r="C85" s="327" t="e">
        <f>SUM(C11:C83)</f>
        <v>#REF!</v>
      </c>
      <c r="D85" s="328" t="e">
        <f>SUM(D11:D83)</f>
        <v>#REF!</v>
      </c>
      <c r="E85" s="329" t="e">
        <f>SUM(E11:E83)</f>
        <v>#REF!</v>
      </c>
      <c r="F85" s="330" t="e">
        <f>E85/$C$85</f>
        <v>#REF!</v>
      </c>
      <c r="G85" s="331" t="e">
        <f>SUM(G11:G83)</f>
        <v>#REF!</v>
      </c>
      <c r="H85" s="330" t="e">
        <f>G85/$C$85</f>
        <v>#REF!</v>
      </c>
      <c r="I85" s="332" t="e">
        <f>SUM(I11:I83)</f>
        <v>#REF!</v>
      </c>
      <c r="J85" s="330" t="e">
        <f>I85/$C$85</f>
        <v>#REF!</v>
      </c>
      <c r="K85" s="332" t="e">
        <f>SUM(K11:K83)</f>
        <v>#REF!</v>
      </c>
      <c r="L85" s="330" t="e">
        <f>K85/$C$85</f>
        <v>#REF!</v>
      </c>
      <c r="M85" s="332" t="e">
        <f>SUM(M11:M83)</f>
        <v>#REF!</v>
      </c>
      <c r="N85" s="330" t="e">
        <f>M85/$C$85</f>
        <v>#REF!</v>
      </c>
      <c r="O85" s="332" t="e">
        <f>SUM(O11:O83)</f>
        <v>#REF!</v>
      </c>
      <c r="P85" s="330" t="e">
        <f>O85/$C$85</f>
        <v>#REF!</v>
      </c>
      <c r="Q85" s="332" t="e">
        <f>SUM(Q11:Q83)</f>
        <v>#REF!</v>
      </c>
      <c r="R85" s="333" t="e">
        <f>Q85/$C$85</f>
        <v>#REF!</v>
      </c>
    </row>
    <row r="86" spans="1:20" s="346" customFormat="1" ht="13.5" thickBot="1" x14ac:dyDescent="0.25">
      <c r="A86" s="1445" t="s">
        <v>18</v>
      </c>
      <c r="B86" s="1446"/>
      <c r="C86" s="334"/>
      <c r="D86" s="335"/>
      <c r="E86" s="329" t="e">
        <f>SUM(E85)</f>
        <v>#REF!</v>
      </c>
      <c r="F86" s="336" t="e">
        <f>E86/C85</f>
        <v>#REF!</v>
      </c>
      <c r="G86" s="337" t="e">
        <f t="shared" ref="G86:L86" si="25">E86+G85</f>
        <v>#REF!</v>
      </c>
      <c r="H86" s="336" t="e">
        <f t="shared" si="25"/>
        <v>#REF!</v>
      </c>
      <c r="I86" s="337" t="e">
        <f t="shared" si="25"/>
        <v>#REF!</v>
      </c>
      <c r="J86" s="336" t="e">
        <f t="shared" si="25"/>
        <v>#REF!</v>
      </c>
      <c r="K86" s="337" t="e">
        <f t="shared" si="25"/>
        <v>#REF!</v>
      </c>
      <c r="L86" s="336" t="e">
        <f t="shared" si="25"/>
        <v>#REF!</v>
      </c>
      <c r="M86" s="337" t="e">
        <f>K86+M85</f>
        <v>#REF!</v>
      </c>
      <c r="N86" s="336" t="e">
        <f>L86+N85</f>
        <v>#REF!</v>
      </c>
      <c r="O86" s="337" t="e">
        <f>M86+O85</f>
        <v>#REF!</v>
      </c>
      <c r="P86" s="336" t="e">
        <f>N86+P85</f>
        <v>#REF!</v>
      </c>
      <c r="Q86" s="337"/>
      <c r="R86" s="338"/>
    </row>
    <row r="87" spans="1:20" s="346" customFormat="1" ht="13.5" thickBot="1" x14ac:dyDescent="0.25">
      <c r="A87" s="1437"/>
      <c r="B87" s="1438"/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9"/>
    </row>
    <row r="89" spans="1:20" x14ac:dyDescent="0.2">
      <c r="B89" s="293" t="s">
        <v>172</v>
      </c>
    </row>
    <row r="90" spans="1:20" x14ac:dyDescent="0.2">
      <c r="B90" s="295" t="s">
        <v>241</v>
      </c>
    </row>
    <row r="91" spans="1:20" x14ac:dyDescent="0.2">
      <c r="C91" s="352"/>
    </row>
  </sheetData>
  <mergeCells count="24">
    <mergeCell ref="A1:R1"/>
    <mergeCell ref="A2:R2"/>
    <mergeCell ref="B3:O3"/>
    <mergeCell ref="B4:O4"/>
    <mergeCell ref="N6:O6"/>
    <mergeCell ref="M5:O5"/>
    <mergeCell ref="B5:K5"/>
    <mergeCell ref="B6:K6"/>
    <mergeCell ref="P3:R6"/>
    <mergeCell ref="A87:R87"/>
    <mergeCell ref="Q9:R9"/>
    <mergeCell ref="A7:R7"/>
    <mergeCell ref="A85:B85"/>
    <mergeCell ref="M9:N9"/>
    <mergeCell ref="O9:P9"/>
    <mergeCell ref="A86:B86"/>
    <mergeCell ref="A8:A10"/>
    <mergeCell ref="B8:B10"/>
    <mergeCell ref="C8:D9"/>
    <mergeCell ref="E8:R8"/>
    <mergeCell ref="E9:F9"/>
    <mergeCell ref="G9:H9"/>
    <mergeCell ref="I9:J9"/>
    <mergeCell ref="K9:L9"/>
  </mergeCells>
  <phoneticPr fontId="0" type="noConversion"/>
  <printOptions horizontalCentered="1"/>
  <pageMargins left="0.39370078740157483" right="0.39370078740157483" top="0.98425196850393704" bottom="0.39370078740157483" header="0.31496062992125984" footer="0.31496062992125984"/>
  <pageSetup paperSize="9" scale="53" fitToHeight="0" orientation="landscape" r:id="rId1"/>
  <headerFooter alignWithMargins="0"/>
  <rowBreaks count="1" manualBreakCount="1">
    <brk id="73" max="1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31"/>
  <sheetViews>
    <sheetView view="pageBreakPreview" topLeftCell="A4" zoomScale="70" zoomScaleSheetLayoutView="70" workbookViewId="0">
      <selection activeCell="M24" sqref="M24"/>
    </sheetView>
  </sheetViews>
  <sheetFormatPr defaultRowHeight="12.75" x14ac:dyDescent="0.2"/>
  <cols>
    <col min="1" max="1" width="12.42578125" customWidth="1"/>
    <col min="2" max="2" width="36.28515625" customWidth="1"/>
    <col min="3" max="3" width="50" customWidth="1"/>
    <col min="4" max="4" width="20.140625" style="91" customWidth="1"/>
    <col min="5" max="5" width="22.5703125" customWidth="1"/>
    <col min="6" max="6" width="10.28515625" style="91" bestFit="1" customWidth="1"/>
    <col min="7" max="7" width="10.7109375" customWidth="1"/>
  </cols>
  <sheetData>
    <row r="1" spans="1:12" s="415" customFormat="1" ht="15.75" x14ac:dyDescent="0.2">
      <c r="A1" s="1349" t="str">
        <f>Terrap.!A1</f>
        <v>ESTADO DE MATO GROSSO</v>
      </c>
      <c r="B1" s="1350"/>
      <c r="C1" s="1350"/>
      <c r="D1" s="1350"/>
      <c r="E1" s="1350"/>
      <c r="F1" s="1350"/>
      <c r="G1" s="1351"/>
    </row>
    <row r="2" spans="1:12" s="415" customFormat="1" ht="15.75" x14ac:dyDescent="0.2">
      <c r="A2" s="1352" t="str">
        <f>Terrap.!A2</f>
        <v xml:space="preserve">PREFEITURA MUNICIPAL DE BARRA DO BUGRES </v>
      </c>
      <c r="B2" s="1353"/>
      <c r="C2" s="1353"/>
      <c r="D2" s="1353"/>
      <c r="E2" s="1353"/>
      <c r="F2" s="1353"/>
      <c r="G2" s="1354"/>
    </row>
    <row r="3" spans="1:12" s="90" customFormat="1" ht="24" customHeight="1" x14ac:dyDescent="0.2">
      <c r="A3" s="410" t="str">
        <f>Terrap.!A3</f>
        <v>OBRA:</v>
      </c>
      <c r="B3" s="408" t="str">
        <f>Terrap.!B3</f>
        <v>PAVIMENTAÇÃO ASFALTICA E DRENAGEM DE AGUAS PLUVIAIS</v>
      </c>
      <c r="C3" s="408"/>
      <c r="D3" s="460" t="s">
        <v>370</v>
      </c>
      <c r="E3" s="1381" t="str">
        <f>Terrap.!H6</f>
        <v>TABELA:</v>
      </c>
      <c r="F3" s="1381"/>
      <c r="G3" s="255" t="str">
        <f>Terrap.!E6</f>
        <v>BDI:</v>
      </c>
    </row>
    <row r="4" spans="1:12" s="90" customFormat="1" ht="24" customHeight="1" x14ac:dyDescent="0.2">
      <c r="A4" s="410" t="str">
        <f>Terrap.!A4</f>
        <v>LOCAL:</v>
      </c>
      <c r="B4" s="408" t="str">
        <f>Terrap.!B4</f>
        <v>DIVERSAS RUAS - PERIMETRO URBANO</v>
      </c>
      <c r="C4" s="408"/>
      <c r="D4" s="1302" t="str">
        <f>Terrap.!F5</f>
        <v>maio 2020</v>
      </c>
      <c r="E4" s="1020" t="str">
        <f>Terrap.!I3</f>
        <v>SINAPI - MARÇO / 2020                                                                                                                               ANP - NOV/2019 (desonerado) SICRO OUT/2019</v>
      </c>
      <c r="F4" s="1020"/>
      <c r="G4" s="1300">
        <f>Terrap.!F6</f>
        <v>0.26740000000000003</v>
      </c>
    </row>
    <row r="5" spans="1:12" s="90" customFormat="1" ht="24" customHeight="1" x14ac:dyDescent="0.2">
      <c r="A5" s="410" t="str">
        <f>Terrap.!A5</f>
        <v>PROPR.:</v>
      </c>
      <c r="B5" s="408" t="str">
        <f>Terrap.!B5</f>
        <v xml:space="preserve">PREFEITURA MUNICIPAL DE BARRA DO BUGRES </v>
      </c>
      <c r="C5" s="408"/>
      <c r="D5" s="1357"/>
      <c r="E5" s="1020"/>
      <c r="F5" s="1020"/>
      <c r="G5" s="1300"/>
    </row>
    <row r="6" spans="1:12" s="90" customFormat="1" ht="24" customHeight="1" thickBot="1" x14ac:dyDescent="0.25">
      <c r="A6" s="412" t="str">
        <f>Terrap.!A6</f>
        <v>ÁREA (m²):</v>
      </c>
      <c r="B6" s="1464">
        <f>Terrap.!C18</f>
        <v>8721.93</v>
      </c>
      <c r="C6" s="1464"/>
      <c r="D6" s="1303"/>
      <c r="E6" s="1022"/>
      <c r="F6" s="1022"/>
      <c r="G6" s="1301"/>
    </row>
    <row r="7" spans="1:12" s="91" customFormat="1" ht="26.25" customHeight="1" thickBot="1" x14ac:dyDescent="0.25">
      <c r="A7" s="1295" t="s">
        <v>155</v>
      </c>
      <c r="B7" s="1296"/>
      <c r="C7" s="1296"/>
      <c r="D7" s="1296"/>
      <c r="E7" s="1296"/>
      <c r="F7" s="1380"/>
      <c r="G7" s="1297"/>
    </row>
    <row r="8" spans="1:12" s="41" customFormat="1" ht="15.75" thickBot="1" x14ac:dyDescent="0.3">
      <c r="B8" s="29"/>
      <c r="C8" s="29"/>
      <c r="D8" s="29"/>
      <c r="E8" s="29"/>
      <c r="F8" s="29"/>
      <c r="H8" s="29"/>
      <c r="I8" s="29"/>
      <c r="J8" s="29"/>
      <c r="K8" s="29"/>
      <c r="L8" s="29"/>
    </row>
    <row r="9" spans="1:12" s="41" customFormat="1" ht="19.5" customHeight="1" x14ac:dyDescent="0.25">
      <c r="B9" s="1467" t="s">
        <v>156</v>
      </c>
      <c r="C9" s="1468"/>
      <c r="D9" s="1468"/>
      <c r="E9" s="1468"/>
      <c r="F9" s="301" t="s">
        <v>15</v>
      </c>
      <c r="H9" s="29"/>
      <c r="I9" s="29"/>
      <c r="J9" s="29"/>
      <c r="K9" s="29"/>
      <c r="L9" s="29"/>
    </row>
    <row r="10" spans="1:12" s="41" customFormat="1" ht="19.5" customHeight="1" x14ac:dyDescent="0.25">
      <c r="B10" s="1465" t="s">
        <v>159</v>
      </c>
      <c r="C10" s="1466"/>
      <c r="D10" s="1466"/>
      <c r="E10" s="1466"/>
      <c r="F10" s="302">
        <v>4.01</v>
      </c>
      <c r="H10" s="29"/>
      <c r="I10" s="29"/>
      <c r="J10" s="29"/>
      <c r="K10" s="29"/>
      <c r="L10" s="29"/>
    </row>
    <row r="11" spans="1:12" s="41" customFormat="1" ht="19.5" customHeight="1" x14ac:dyDescent="0.25">
      <c r="B11" s="1465" t="s">
        <v>514</v>
      </c>
      <c r="C11" s="1466"/>
      <c r="D11" s="1466"/>
      <c r="E11" s="1466"/>
      <c r="F11" s="302">
        <v>0</v>
      </c>
      <c r="H11" s="29"/>
      <c r="I11" s="29"/>
      <c r="J11" s="29"/>
      <c r="K11" s="29"/>
      <c r="L11" s="29"/>
    </row>
    <row r="12" spans="1:12" s="41" customFormat="1" ht="19.5" customHeight="1" x14ac:dyDescent="0.25">
      <c r="B12" s="1465" t="s">
        <v>157</v>
      </c>
      <c r="C12" s="1466"/>
      <c r="D12" s="1466"/>
      <c r="E12" s="1466"/>
      <c r="F12" s="302">
        <v>0.56000000000000005</v>
      </c>
      <c r="H12" s="29"/>
      <c r="I12" s="29"/>
      <c r="J12" s="29"/>
      <c r="K12" s="35"/>
      <c r="L12" s="29"/>
    </row>
    <row r="13" spans="1:12" s="41" customFormat="1" ht="19.5" customHeight="1" x14ac:dyDescent="0.25">
      <c r="B13" s="1465" t="s">
        <v>158</v>
      </c>
      <c r="C13" s="1466"/>
      <c r="D13" s="1466"/>
      <c r="E13" s="1466"/>
      <c r="F13" s="302">
        <v>1.1100000000000001</v>
      </c>
      <c r="H13" s="29"/>
      <c r="I13" s="29"/>
      <c r="J13" s="29"/>
      <c r="K13" s="35"/>
      <c r="L13" s="29"/>
    </row>
    <row r="14" spans="1:12" s="41" customFormat="1" ht="19.5" customHeight="1" x14ac:dyDescent="0.25">
      <c r="B14" s="1465" t="s">
        <v>160</v>
      </c>
      <c r="C14" s="1466"/>
      <c r="D14" s="1466"/>
      <c r="E14" s="1466"/>
      <c r="F14" s="302">
        <v>7.7</v>
      </c>
      <c r="H14" s="29"/>
      <c r="I14" s="29"/>
      <c r="J14" s="29"/>
      <c r="K14" s="35"/>
      <c r="L14" s="29"/>
    </row>
    <row r="15" spans="1:12" s="41" customFormat="1" ht="19.5" customHeight="1" x14ac:dyDescent="0.25">
      <c r="B15" s="1465" t="s">
        <v>377</v>
      </c>
      <c r="C15" s="1466"/>
      <c r="D15" s="1466"/>
      <c r="E15" s="1466"/>
      <c r="F15" s="302">
        <f>2+0.65+3+4.5</f>
        <v>10.15</v>
      </c>
      <c r="H15" s="29"/>
      <c r="I15" s="29"/>
      <c r="J15" s="29"/>
      <c r="K15" s="35"/>
      <c r="L15" s="29"/>
    </row>
    <row r="16" spans="1:12" s="41" customFormat="1" ht="19.5" customHeight="1" x14ac:dyDescent="0.25">
      <c r="B16" s="1465"/>
      <c r="C16" s="1466"/>
      <c r="D16" s="1466"/>
      <c r="E16" s="1466"/>
      <c r="F16" s="302"/>
      <c r="H16" s="29"/>
      <c r="I16" s="30"/>
      <c r="J16" s="29"/>
      <c r="K16" s="35"/>
      <c r="L16" s="29"/>
    </row>
    <row r="17" spans="2:7" s="41" customFormat="1" ht="19.5" customHeight="1" thickBot="1" x14ac:dyDescent="0.3">
      <c r="B17" s="1469" t="s">
        <v>13</v>
      </c>
      <c r="C17" s="1470"/>
      <c r="D17" s="1470"/>
      <c r="E17" s="1470"/>
      <c r="F17" s="303">
        <f>(((1+F10/100+F11/100+F12/100)*(1+F13/100)*(1+F14/100))/(1-F15/100))-1</f>
        <v>0.26740000000000003</v>
      </c>
    </row>
    <row r="18" spans="2:7" s="41" customFormat="1" ht="14.25" x14ac:dyDescent="0.2">
      <c r="B18" s="90"/>
      <c r="C18" s="90"/>
      <c r="D18" s="90"/>
      <c r="E18" s="90"/>
      <c r="F18" s="90"/>
      <c r="G18" s="90"/>
    </row>
    <row r="19" spans="2:7" s="41" customFormat="1" ht="14.25" x14ac:dyDescent="0.2">
      <c r="B19" s="90" t="s">
        <v>272</v>
      </c>
      <c r="C19" s="90"/>
      <c r="D19" s="90"/>
      <c r="E19" s="90"/>
      <c r="F19" s="90"/>
      <c r="G19" s="90"/>
    </row>
    <row r="20" spans="2:7" s="41" customFormat="1" ht="15" x14ac:dyDescent="0.25">
      <c r="B20" s="90" t="s">
        <v>337</v>
      </c>
      <c r="C20" s="16"/>
      <c r="D20" s="16"/>
      <c r="E20" s="16"/>
      <c r="F20" s="16"/>
      <c r="G20" s="42"/>
    </row>
    <row r="21" spans="2:7" s="41" customFormat="1" ht="15" x14ac:dyDescent="0.25">
      <c r="B21" s="43"/>
      <c r="C21" s="16"/>
      <c r="D21" s="16"/>
      <c r="E21" s="16"/>
      <c r="F21" s="16"/>
      <c r="G21" s="42"/>
    </row>
    <row r="22" spans="2:7" s="41" customFormat="1" ht="15" x14ac:dyDescent="0.25">
      <c r="B22" s="43"/>
      <c r="C22" s="16"/>
      <c r="D22" s="16"/>
      <c r="E22" s="16"/>
      <c r="F22" s="16"/>
      <c r="G22" s="42"/>
    </row>
    <row r="23" spans="2:7" s="41" customFormat="1" ht="15" x14ac:dyDescent="0.25">
      <c r="B23" s="43"/>
      <c r="C23" s="16"/>
      <c r="D23" s="16"/>
      <c r="E23" s="16"/>
      <c r="F23" s="16"/>
      <c r="G23" s="42"/>
    </row>
    <row r="24" spans="2:7" s="41" customFormat="1" ht="15" x14ac:dyDescent="0.25">
      <c r="B24" s="16"/>
      <c r="C24" s="16"/>
      <c r="D24" s="16"/>
      <c r="E24" s="16"/>
      <c r="F24" s="16"/>
      <c r="G24" s="42"/>
    </row>
    <row r="25" spans="2:7" s="41" customFormat="1" ht="15" x14ac:dyDescent="0.25">
      <c r="B25" s="16"/>
      <c r="C25" s="16"/>
      <c r="D25" s="16"/>
      <c r="E25" s="16"/>
      <c r="F25" s="16"/>
      <c r="G25" s="42"/>
    </row>
    <row r="26" spans="2:7" s="41" customFormat="1" ht="15" x14ac:dyDescent="0.25">
      <c r="B26" s="16"/>
      <c r="C26" s="16"/>
      <c r="D26" s="16"/>
      <c r="E26" s="16"/>
      <c r="F26" s="16"/>
      <c r="G26" s="42"/>
    </row>
    <row r="27" spans="2:7" s="41" customFormat="1" ht="15" x14ac:dyDescent="0.25">
      <c r="B27" s="16"/>
      <c r="C27" s="16"/>
      <c r="D27" s="16"/>
      <c r="E27" s="16"/>
      <c r="F27" s="16"/>
      <c r="G27" s="42"/>
    </row>
    <row r="28" spans="2:7" s="41" customFormat="1" ht="15" x14ac:dyDescent="0.25">
      <c r="B28" s="16"/>
      <c r="C28" s="16"/>
      <c r="D28" s="16"/>
      <c r="E28" s="16"/>
      <c r="F28" s="16"/>
      <c r="G28" s="42"/>
    </row>
    <row r="29" spans="2:7" s="41" customFormat="1" ht="15.75" x14ac:dyDescent="0.25">
      <c r="B29" s="922" t="str">
        <f>Terrap.!B20</f>
        <v xml:space="preserve">Vinicius Ferreira Fava </v>
      </c>
      <c r="D29" s="91"/>
      <c r="F29" s="28"/>
    </row>
    <row r="30" spans="2:7" s="41" customFormat="1" x14ac:dyDescent="0.2">
      <c r="B30" s="923" t="str">
        <f>Terrap.!B21</f>
        <v>ENGº CIVIL</v>
      </c>
      <c r="D30" s="91"/>
      <c r="F30" s="31"/>
    </row>
    <row r="31" spans="2:7" x14ac:dyDescent="0.2">
      <c r="B31" s="923" t="str">
        <f>Terrap.!B22</f>
        <v>Crea: 121.286.161-2</v>
      </c>
      <c r="C31" s="40"/>
      <c r="E31" s="40"/>
      <c r="G31" s="40"/>
    </row>
  </sheetData>
  <mergeCells count="17">
    <mergeCell ref="B17:E17"/>
    <mergeCell ref="B16:E16"/>
    <mergeCell ref="B11:E11"/>
    <mergeCell ref="B12:E12"/>
    <mergeCell ref="B13:E13"/>
    <mergeCell ref="B14:E14"/>
    <mergeCell ref="B15:E15"/>
    <mergeCell ref="B10:E10"/>
    <mergeCell ref="B9:E9"/>
    <mergeCell ref="G4:G6"/>
    <mergeCell ref="A7:G7"/>
    <mergeCell ref="E4:F6"/>
    <mergeCell ref="E3:F3"/>
    <mergeCell ref="D4:D6"/>
    <mergeCell ref="B6:C6"/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8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L34"/>
  <sheetViews>
    <sheetView view="pageBreakPreview" zoomScale="80" zoomScaleSheetLayoutView="80" workbookViewId="0">
      <selection activeCell="J14" sqref="J14"/>
    </sheetView>
  </sheetViews>
  <sheetFormatPr defaultRowHeight="12.75" x14ac:dyDescent="0.2"/>
  <cols>
    <col min="1" max="1" width="11.28515625" style="108" customWidth="1"/>
    <col min="2" max="2" width="49.42578125" style="108" customWidth="1"/>
    <col min="3" max="3" width="36.7109375" style="108" customWidth="1"/>
    <col min="4" max="4" width="14.28515625" style="108" customWidth="1"/>
    <col min="5" max="5" width="13.140625" style="108" bestFit="1" customWidth="1"/>
    <col min="6" max="6" width="13.5703125" style="108" customWidth="1"/>
    <col min="7" max="7" width="13.140625" style="108" customWidth="1"/>
    <col min="8" max="8" width="17.42578125" style="108" customWidth="1"/>
    <col min="9" max="9" width="14.7109375" style="108" bestFit="1" customWidth="1"/>
    <col min="10" max="10" width="12.28515625" style="108" bestFit="1" customWidth="1"/>
    <col min="11" max="11" width="15.7109375" style="108" customWidth="1"/>
    <col min="12" max="12" width="15.140625" style="108" bestFit="1" customWidth="1"/>
    <col min="13" max="16384" width="9.140625" style="108"/>
  </cols>
  <sheetData>
    <row r="1" spans="1:12" ht="15.75" x14ac:dyDescent="0.2">
      <c r="A1" s="1349" t="str">
        <f>Terrap.!A1</f>
        <v>ESTADO DE MATO GROSSO</v>
      </c>
      <c r="B1" s="1350"/>
      <c r="C1" s="1350"/>
      <c r="D1" s="1350"/>
      <c r="E1" s="1350"/>
      <c r="F1" s="1350"/>
      <c r="G1" s="1351"/>
    </row>
    <row r="2" spans="1:12" ht="15.75" x14ac:dyDescent="0.2">
      <c r="A2" s="1352" t="str">
        <f>Terrap.!A2</f>
        <v xml:space="preserve">PREFEITURA MUNICIPAL DE BARRA DO BUGRES </v>
      </c>
      <c r="B2" s="1353"/>
      <c r="C2" s="1353"/>
      <c r="D2" s="1353"/>
      <c r="E2" s="1353"/>
      <c r="F2" s="1353"/>
      <c r="G2" s="1354"/>
    </row>
    <row r="3" spans="1:12" ht="21.75" customHeight="1" x14ac:dyDescent="0.2">
      <c r="A3" s="410" t="str">
        <f>Terrap.!A3</f>
        <v>OBRA:</v>
      </c>
      <c r="B3" s="1368" t="str">
        <f>Terrap.!B3</f>
        <v>PAVIMENTAÇÃO ASFALTICA E DRENAGEM DE AGUAS PLUVIAIS</v>
      </c>
      <c r="C3" s="1370"/>
      <c r="D3" s="460" t="s">
        <v>370</v>
      </c>
      <c r="E3" s="1381" t="str">
        <f>Terrap.!H6</f>
        <v>TABELA:</v>
      </c>
      <c r="F3" s="1381"/>
      <c r="G3" s="255" t="str">
        <f>Terrap.!E6</f>
        <v>BDI:</v>
      </c>
    </row>
    <row r="4" spans="1:12" ht="21.75" customHeight="1" x14ac:dyDescent="0.2">
      <c r="A4" s="410" t="str">
        <f>Terrap.!A4</f>
        <v>LOCAL:</v>
      </c>
      <c r="B4" s="1368" t="str">
        <f>Terrap.!B4</f>
        <v>DIVERSAS RUAS - PERIMETRO URBANO</v>
      </c>
      <c r="C4" s="1370"/>
      <c r="D4" s="1302" t="str">
        <f>Terrap.!F5</f>
        <v>maio 2020</v>
      </c>
      <c r="E4" s="1020" t="str">
        <f>Terrap.!I3</f>
        <v>SINAPI - MARÇO / 2020                                                                                                                               ANP - NOV/2019 (desonerado) SICRO OUT/2019</v>
      </c>
      <c r="F4" s="1020"/>
      <c r="G4" s="1300">
        <f>Terrap.!F6</f>
        <v>0.26740000000000003</v>
      </c>
    </row>
    <row r="5" spans="1:12" ht="21.75" customHeight="1" x14ac:dyDescent="0.2">
      <c r="A5" s="410" t="str">
        <f>Terrap.!A5</f>
        <v>PROPR.:</v>
      </c>
      <c r="B5" s="1368" t="str">
        <f>Terrap.!B5</f>
        <v xml:space="preserve">PREFEITURA MUNICIPAL DE BARRA DO BUGRES </v>
      </c>
      <c r="C5" s="1370"/>
      <c r="D5" s="1357"/>
      <c r="E5" s="1020"/>
      <c r="F5" s="1020"/>
      <c r="G5" s="1300"/>
      <c r="J5" s="592">
        <f>SUM(J6:J7)</f>
        <v>696354.17</v>
      </c>
    </row>
    <row r="6" spans="1:12" ht="21.75" customHeight="1" thickBot="1" x14ac:dyDescent="0.25">
      <c r="A6" s="412" t="str">
        <f>Terrap.!A6</f>
        <v>ÁREA (m²):</v>
      </c>
      <c r="B6" s="1464">
        <f>Terrap.!C18</f>
        <v>8721.93</v>
      </c>
      <c r="C6" s="1464"/>
      <c r="D6" s="1303"/>
      <c r="E6" s="1022"/>
      <c r="F6" s="1022"/>
      <c r="G6" s="1301"/>
      <c r="J6" s="592">
        <v>668500</v>
      </c>
    </row>
    <row r="7" spans="1:12" ht="38.25" customHeight="1" thickBot="1" x14ac:dyDescent="0.25">
      <c r="A7" s="1295" t="s">
        <v>153</v>
      </c>
      <c r="B7" s="1296"/>
      <c r="C7" s="1296"/>
      <c r="D7" s="1296"/>
      <c r="E7" s="1296"/>
      <c r="F7" s="1380"/>
      <c r="G7" s="1297"/>
      <c r="J7" s="592">
        <v>27854.17</v>
      </c>
    </row>
    <row r="8" spans="1:12" ht="24" customHeight="1" x14ac:dyDescent="0.2">
      <c r="A8" s="1481" t="s">
        <v>0</v>
      </c>
      <c r="B8" s="1479" t="s">
        <v>266</v>
      </c>
      <c r="C8" s="1479"/>
      <c r="D8" s="1479" t="s">
        <v>397</v>
      </c>
      <c r="E8" s="1479"/>
      <c r="F8" s="1479"/>
      <c r="G8" s="1483"/>
      <c r="H8" s="27"/>
    </row>
    <row r="9" spans="1:12" ht="15" x14ac:dyDescent="0.2">
      <c r="A9" s="1482"/>
      <c r="B9" s="1480"/>
      <c r="C9" s="1480"/>
      <c r="D9" s="630" t="s">
        <v>398</v>
      </c>
      <c r="E9" s="630" t="s">
        <v>399</v>
      </c>
      <c r="F9" s="630" t="s">
        <v>13</v>
      </c>
      <c r="G9" s="631" t="s">
        <v>400</v>
      </c>
      <c r="H9" s="27"/>
      <c r="I9" s="382" t="s">
        <v>628</v>
      </c>
      <c r="J9" s="352">
        <f>F26</f>
        <v>638066.63</v>
      </c>
      <c r="L9" s="926" t="e">
        <f>J9/J11</f>
        <v>#DIV/0!</v>
      </c>
    </row>
    <row r="10" spans="1:12" ht="23.25" customHeight="1" x14ac:dyDescent="0.2">
      <c r="A10" s="632">
        <f>Resumo!A10</f>
        <v>1</v>
      </c>
      <c r="B10" s="1478" t="str">
        <f>Resumo!B10</f>
        <v>SERVIÇOS PRELIMINARES</v>
      </c>
      <c r="C10" s="1478"/>
      <c r="D10" s="417">
        <f>F10-E10</f>
        <v>9359.94</v>
      </c>
      <c r="E10" s="417">
        <f>F10*$L$11</f>
        <v>9.3699999999999992</v>
      </c>
      <c r="F10" s="442">
        <f>Resumo!E10</f>
        <v>9369.31</v>
      </c>
      <c r="G10" s="633"/>
      <c r="H10" s="27"/>
      <c r="I10" s="382" t="s">
        <v>629</v>
      </c>
      <c r="J10" s="352">
        <v>696354.17</v>
      </c>
      <c r="K10" s="251"/>
      <c r="L10" s="931">
        <f>J10/J9</f>
        <v>1.0913999999999999</v>
      </c>
    </row>
    <row r="11" spans="1:12" ht="23.25" customHeight="1" x14ac:dyDescent="0.2">
      <c r="A11" s="378"/>
      <c r="B11" s="1478"/>
      <c r="C11" s="1478"/>
      <c r="D11" s="417"/>
      <c r="E11" s="417"/>
      <c r="F11" s="442"/>
      <c r="G11" s="634"/>
      <c r="H11" s="27"/>
      <c r="I11" s="382" t="s">
        <v>630</v>
      </c>
      <c r="J11" s="352"/>
      <c r="L11" s="994">
        <v>1E-3</v>
      </c>
    </row>
    <row r="12" spans="1:12" ht="23.25" customHeight="1" x14ac:dyDescent="0.2">
      <c r="A12" s="632">
        <f>Resumo!A12</f>
        <v>2</v>
      </c>
      <c r="B12" s="1478" t="str">
        <f>Resumo!B12</f>
        <v>ADMINISTRAÇÃO DE CANTEIRO DE OBRA</v>
      </c>
      <c r="C12" s="1478"/>
      <c r="D12" s="417">
        <f>F12-E12</f>
        <v>25799.97</v>
      </c>
      <c r="E12" s="417">
        <f>F12*$L$11</f>
        <v>25.83</v>
      </c>
      <c r="F12" s="442">
        <f>Resumo!E12</f>
        <v>25825.8</v>
      </c>
      <c r="G12" s="634"/>
      <c r="H12" s="27"/>
      <c r="I12" s="340"/>
      <c r="J12" s="352"/>
      <c r="K12" s="635"/>
    </row>
    <row r="13" spans="1:12" ht="23.25" customHeight="1" x14ac:dyDescent="0.2">
      <c r="A13" s="378"/>
      <c r="B13" s="1478"/>
      <c r="C13" s="1478"/>
      <c r="D13" s="417"/>
      <c r="E13" s="417"/>
      <c r="F13" s="442"/>
      <c r="G13" s="634"/>
      <c r="H13" s="27"/>
      <c r="I13" s="340"/>
      <c r="J13" s="251"/>
      <c r="K13" s="635"/>
    </row>
    <row r="14" spans="1:12" ht="23.25" customHeight="1" x14ac:dyDescent="0.2">
      <c r="A14" s="632">
        <f>Resumo!A14</f>
        <v>3</v>
      </c>
      <c r="B14" s="1478" t="str">
        <f>Resumo!B14</f>
        <v>PAVIMENTAÇÃO EM TSD</v>
      </c>
      <c r="C14" s="1478"/>
      <c r="D14" s="417"/>
      <c r="E14" s="417"/>
      <c r="F14" s="442"/>
      <c r="G14" s="634"/>
      <c r="H14" s="27"/>
      <c r="I14" s="340"/>
      <c r="K14" s="635"/>
    </row>
    <row r="15" spans="1:12" ht="23.25" customHeight="1" x14ac:dyDescent="0.2">
      <c r="A15" s="378" t="str">
        <f>Resumo!A15</f>
        <v>3.1</v>
      </c>
      <c r="B15" s="1477" t="str">
        <f>Resumo!B15</f>
        <v>TERRAPLENAGEM</v>
      </c>
      <c r="C15" s="1477"/>
      <c r="D15" s="417">
        <f>F15-E15</f>
        <v>14299.7</v>
      </c>
      <c r="E15" s="417">
        <f>F15*$L$11</f>
        <v>14.31</v>
      </c>
      <c r="F15" s="442">
        <f>Resumo!E15</f>
        <v>14314.01</v>
      </c>
      <c r="G15" s="634"/>
      <c r="H15" s="27"/>
      <c r="I15" s="340"/>
      <c r="K15" s="635"/>
    </row>
    <row r="16" spans="1:12" ht="23.25" customHeight="1" x14ac:dyDescent="0.2">
      <c r="A16" s="378" t="str">
        <f>Resumo!A16</f>
        <v>3.2</v>
      </c>
      <c r="B16" s="1477" t="str">
        <f>Resumo!B16</f>
        <v>PAVIMENTAÇÃO</v>
      </c>
      <c r="C16" s="1477"/>
      <c r="D16" s="417">
        <f>F16-E16</f>
        <v>291889.07</v>
      </c>
      <c r="E16" s="417">
        <f>F16*$L$11</f>
        <v>292.18</v>
      </c>
      <c r="F16" s="442">
        <f>Resumo!E16</f>
        <v>292181.25</v>
      </c>
      <c r="G16" s="634"/>
      <c r="H16" s="27"/>
      <c r="I16" s="340"/>
      <c r="K16" s="635"/>
    </row>
    <row r="17" spans="1:10" ht="23.25" customHeight="1" x14ac:dyDescent="0.2">
      <c r="A17" s="378" t="str">
        <f>Resumo!A17</f>
        <v>3.3</v>
      </c>
      <c r="B17" s="1477" t="str">
        <f>Resumo!B17</f>
        <v>OBRAS COMPLEMENTARES</v>
      </c>
      <c r="C17" s="1477"/>
      <c r="D17" s="417"/>
      <c r="E17" s="417"/>
      <c r="F17" s="442"/>
      <c r="G17" s="634"/>
      <c r="H17" s="27"/>
    </row>
    <row r="18" spans="1:10" ht="48" customHeight="1" x14ac:dyDescent="0.2">
      <c r="A18" s="667" t="str">
        <f>Resumo!A18</f>
        <v>3.3.1</v>
      </c>
      <c r="B18" s="1484" t="str">
        <f>Resumo!B18</f>
        <v>GUIA (MEIO-FIO) E SARJETA CONJUGADOS DE CONCRETO, MOLDADA IN LOCO EM TRECHO RETO COM EXTRUSORA, 45 CM BASE (15 CM BASE DA GUIA + 30 CM BASE DA SARJETA) X 22 CM ALTURA. AF_06/2016</v>
      </c>
      <c r="C18" s="1484"/>
      <c r="D18" s="417">
        <f t="shared" ref="D18:D21" si="0">F18-E18</f>
        <v>86510.11</v>
      </c>
      <c r="E18" s="417">
        <f t="shared" ref="E18:E21" si="1">F18*$L$11</f>
        <v>86.6</v>
      </c>
      <c r="F18" s="442">
        <f>Resumo!E18</f>
        <v>86596.71</v>
      </c>
      <c r="G18" s="634"/>
      <c r="H18" s="27"/>
    </row>
    <row r="19" spans="1:10" ht="46.5" customHeight="1" x14ac:dyDescent="0.2">
      <c r="A19" s="667" t="str">
        <f>Resumo!A19</f>
        <v>3.3.2</v>
      </c>
      <c r="B19" s="1484" t="str">
        <f>Resumo!B19</f>
        <v>GUIA (MEIO-FIO) E SARJETA CONJUGADOS DE CONCRETO, MOLDADA IN LOCO EM TRECHO CURVO COM EXTRUSORA, 45 CM BASE (15 CM BASE DA GUIA + 30 CM BASE DA SARJETA) X 22 CM ALTURA. AF_06/2016</v>
      </c>
      <c r="C19" s="1484"/>
      <c r="D19" s="417">
        <f t="shared" si="0"/>
        <v>7016.6</v>
      </c>
      <c r="E19" s="417">
        <f t="shared" si="1"/>
        <v>7.02</v>
      </c>
      <c r="F19" s="442">
        <f>Resumo!E19</f>
        <v>7023.62</v>
      </c>
      <c r="G19" s="634"/>
      <c r="H19" s="27"/>
    </row>
    <row r="20" spans="1:10" ht="48" customHeight="1" x14ac:dyDescent="0.2">
      <c r="A20" s="667" t="str">
        <f>Resumo!A20</f>
        <v>3.3.3</v>
      </c>
      <c r="B20" s="1484" t="str">
        <f>Resumo!B20</f>
        <v>PREPARO DE FUNDO DE VALA COM LARGURA MENOR QUE 1,5 M, EM LOCAL COM NÍVEL ALTO DE INTERFERÊNCIA. AF_06/2016</v>
      </c>
      <c r="C20" s="1484"/>
      <c r="D20" s="417">
        <f t="shared" si="0"/>
        <v>17326.560000000001</v>
      </c>
      <c r="E20" s="417">
        <f t="shared" si="1"/>
        <v>17.34</v>
      </c>
      <c r="F20" s="442">
        <f>Resumo!E20</f>
        <v>17343.900000000001</v>
      </c>
      <c r="G20" s="634"/>
      <c r="H20" s="27"/>
    </row>
    <row r="21" spans="1:10" ht="48" customHeight="1" x14ac:dyDescent="0.2">
      <c r="A21" s="667" t="str">
        <f>Resumo!A21</f>
        <v>3.3.4</v>
      </c>
      <c r="B21" s="1484" t="str">
        <f>Resumo!B21</f>
        <v>EXECUÇÃO DE PASSEIO (CALÇADA) OU PISO DE CONCRETO COM CONCRETO MOLDADO IN LOCO, FEITO EM OBRA, ACABAMENTO CONVENCIONAL, NÃO ARMADO. AF_07/2016</v>
      </c>
      <c r="C21" s="1484"/>
      <c r="D21" s="417">
        <f t="shared" si="0"/>
        <v>96209.98</v>
      </c>
      <c r="E21" s="417">
        <f t="shared" si="1"/>
        <v>96.31</v>
      </c>
      <c r="F21" s="442">
        <f>Resumo!E21</f>
        <v>96306.29</v>
      </c>
      <c r="G21" s="634"/>
      <c r="H21" s="27"/>
    </row>
    <row r="22" spans="1:10" ht="48" customHeight="1" x14ac:dyDescent="0.2">
      <c r="A22" s="667" t="str">
        <f>Resumo!A22</f>
        <v>3.3.5</v>
      </c>
      <c r="B22" s="1360" t="str">
        <f>Resumo!B22</f>
        <v>PISO TÁTIL DIRECIONAL E/OU ALERTA, DE CONCRETO, NA COR NATURAL, P/DEFICIENTES VISUAIS, DIMENSÕES 25X25CM, APLICADO COM ARGAMASSA AC-II</v>
      </c>
      <c r="C22" s="1361"/>
      <c r="D22" s="417">
        <f t="shared" ref="D22" si="2">F22-E22</f>
        <v>74032.61</v>
      </c>
      <c r="E22" s="417">
        <f t="shared" ref="E22" si="3">F22*$L$11</f>
        <v>74.11</v>
      </c>
      <c r="F22" s="442">
        <f>Resumo!E22</f>
        <v>74106.720000000001</v>
      </c>
      <c r="G22" s="634"/>
      <c r="H22" s="27"/>
    </row>
    <row r="23" spans="1:10" ht="23.25" customHeight="1" x14ac:dyDescent="0.2">
      <c r="A23" s="378" t="str">
        <f>Resumo!A23</f>
        <v>3.4</v>
      </c>
      <c r="B23" s="1477" t="str">
        <f>Resumo!B23</f>
        <v>SINALIZAÇÃO VIÁRIA</v>
      </c>
      <c r="C23" s="1477"/>
      <c r="D23" s="417">
        <f>F23-E23</f>
        <v>14984.02</v>
      </c>
      <c r="E23" s="417">
        <f>F23*$L$11</f>
        <v>15</v>
      </c>
      <c r="F23" s="442">
        <f>Resumo!E23</f>
        <v>14999.02</v>
      </c>
      <c r="G23" s="634"/>
      <c r="H23" s="27"/>
      <c r="I23" s="251"/>
    </row>
    <row r="24" spans="1:10" ht="23.25" customHeight="1" x14ac:dyDescent="0.2">
      <c r="A24" s="632"/>
      <c r="B24" s="1478"/>
      <c r="C24" s="1478"/>
      <c r="D24" s="417"/>
      <c r="E24" s="417"/>
      <c r="F24" s="442"/>
      <c r="G24" s="634"/>
      <c r="H24" s="27"/>
      <c r="I24" s="251"/>
    </row>
    <row r="25" spans="1:10" ht="23.25" customHeight="1" x14ac:dyDescent="0.2">
      <c r="A25" s="378"/>
      <c r="B25" s="1478"/>
      <c r="C25" s="1478"/>
      <c r="D25" s="417"/>
      <c r="E25" s="417"/>
      <c r="F25" s="417"/>
      <c r="G25" s="634"/>
      <c r="H25" s="27"/>
      <c r="I25" s="251"/>
    </row>
    <row r="26" spans="1:10" ht="23.25" customHeight="1" x14ac:dyDescent="0.2">
      <c r="A26" s="1471" t="s">
        <v>13</v>
      </c>
      <c r="B26" s="1472"/>
      <c r="C26" s="1473"/>
      <c r="D26" s="636">
        <f>SUM(D10:D25)</f>
        <v>637428.56000000006</v>
      </c>
      <c r="E26" s="636">
        <f>SUM(E10:E23)</f>
        <v>638.07000000000005</v>
      </c>
      <c r="F26" s="637">
        <f>SUM(F10:F25)</f>
        <v>638066.63</v>
      </c>
      <c r="G26" s="638">
        <f>SUM(G10:G25)</f>
        <v>0</v>
      </c>
      <c r="H26" s="27"/>
      <c r="I26" s="251">
        <f>J5-F26</f>
        <v>58287.54</v>
      </c>
      <c r="J26" s="251" t="s">
        <v>728</v>
      </c>
    </row>
    <row r="27" spans="1:10" ht="23.25" customHeight="1" thickBot="1" x14ac:dyDescent="0.25">
      <c r="A27" s="1474"/>
      <c r="B27" s="1475"/>
      <c r="C27" s="1476"/>
      <c r="D27" s="418"/>
      <c r="E27" s="418"/>
      <c r="F27" s="418"/>
      <c r="G27" s="639"/>
      <c r="H27" s="27"/>
    </row>
    <row r="28" spans="1:10" ht="15" x14ac:dyDescent="0.2">
      <c r="A28" s="27"/>
      <c r="B28" s="640"/>
      <c r="C28" s="640"/>
      <c r="D28" s="640"/>
      <c r="E28" s="641"/>
      <c r="F28" s="641"/>
      <c r="G28" s="642"/>
      <c r="H28" s="27"/>
      <c r="I28" s="346"/>
      <c r="J28" s="643"/>
    </row>
    <row r="29" spans="1:10" ht="15" x14ac:dyDescent="0.2">
      <c r="A29" s="27"/>
      <c r="B29" s="640"/>
      <c r="C29" s="640"/>
      <c r="D29" s="932"/>
      <c r="E29" s="27"/>
      <c r="F29" s="27"/>
      <c r="G29" s="27"/>
      <c r="H29" s="27"/>
    </row>
    <row r="30" spans="1:10" ht="15.75" x14ac:dyDescent="0.2">
      <c r="B30" s="644"/>
      <c r="C30" s="644"/>
    </row>
    <row r="31" spans="1:10" x14ac:dyDescent="0.2">
      <c r="B31" s="416"/>
      <c r="C31" s="416"/>
      <c r="E31" s="352"/>
    </row>
    <row r="32" spans="1:10" ht="15" x14ac:dyDescent="0.2">
      <c r="B32" s="924" t="str">
        <f>Terrap.!B20</f>
        <v xml:space="preserve">Vinicius Ferreira Fava </v>
      </c>
      <c r="C32" s="645"/>
    </row>
    <row r="33" spans="2:3" x14ac:dyDescent="0.2">
      <c r="B33" s="925" t="str">
        <f>Terrap.!B21</f>
        <v>ENGº CIVIL</v>
      </c>
      <c r="C33" s="646"/>
    </row>
    <row r="34" spans="2:3" x14ac:dyDescent="0.2">
      <c r="B34" s="925" t="str">
        <f>Terrap.!B22</f>
        <v>Crea: 121.286.161-2</v>
      </c>
    </row>
  </sheetData>
  <mergeCells count="32">
    <mergeCell ref="B22:C22"/>
    <mergeCell ref="B18:C18"/>
    <mergeCell ref="B19:C19"/>
    <mergeCell ref="B21:C21"/>
    <mergeCell ref="B20:C20"/>
    <mergeCell ref="A1:G1"/>
    <mergeCell ref="A2:G2"/>
    <mergeCell ref="B14:C14"/>
    <mergeCell ref="B15:C15"/>
    <mergeCell ref="B16:C16"/>
    <mergeCell ref="B3:C3"/>
    <mergeCell ref="B4:C4"/>
    <mergeCell ref="B5:C5"/>
    <mergeCell ref="E3:F3"/>
    <mergeCell ref="D4:D6"/>
    <mergeCell ref="E4:F6"/>
    <mergeCell ref="G4:G6"/>
    <mergeCell ref="B6:C6"/>
    <mergeCell ref="B17:C17"/>
    <mergeCell ref="A7:G7"/>
    <mergeCell ref="B8:C9"/>
    <mergeCell ref="B10:C10"/>
    <mergeCell ref="B12:C12"/>
    <mergeCell ref="B13:C13"/>
    <mergeCell ref="A8:A9"/>
    <mergeCell ref="D8:G8"/>
    <mergeCell ref="B11:C11"/>
    <mergeCell ref="A26:C26"/>
    <mergeCell ref="A27:C27"/>
    <mergeCell ref="B23:C23"/>
    <mergeCell ref="B24:C24"/>
    <mergeCell ref="B25:C25"/>
  </mergeCells>
  <pageMargins left="0.31496062992125984" right="0.31496062992125984" top="0.59055118110236227" bottom="0.59055118110236227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13"/>
  <sheetViews>
    <sheetView view="pageBreakPreview" topLeftCell="A82" zoomScaleSheetLayoutView="100" workbookViewId="0">
      <selection activeCell="J91" sqref="J91"/>
    </sheetView>
  </sheetViews>
  <sheetFormatPr defaultRowHeight="12.75" x14ac:dyDescent="0.2"/>
  <cols>
    <col min="1" max="1" width="17.140625" style="846" customWidth="1"/>
    <col min="2" max="2" width="49.140625" style="564" customWidth="1"/>
    <col min="3" max="3" width="12.85546875" style="564" customWidth="1"/>
    <col min="4" max="4" width="18.5703125" style="564" customWidth="1"/>
    <col min="5" max="5" width="12.28515625" style="564" customWidth="1"/>
    <col min="6" max="6" width="12.7109375" style="564" customWidth="1"/>
    <col min="7" max="8" width="9.140625" style="564"/>
    <col min="9" max="9" width="10.140625" style="564" bestFit="1" customWidth="1"/>
    <col min="10" max="16384" width="9.140625" style="564"/>
  </cols>
  <sheetData>
    <row r="1" spans="1:6" ht="15.75" x14ac:dyDescent="0.2">
      <c r="A1" s="1078" t="str">
        <f>Terrap.!A1</f>
        <v>ESTADO DE MATO GROSSO</v>
      </c>
      <c r="B1" s="1079"/>
      <c r="C1" s="1079"/>
      <c r="D1" s="1079"/>
      <c r="E1" s="1079"/>
      <c r="F1" s="1080"/>
    </row>
    <row r="2" spans="1:6" ht="15.75" x14ac:dyDescent="0.2">
      <c r="A2" s="1504" t="str">
        <f>Terrap.!A2</f>
        <v xml:space="preserve">PREFEITURA MUNICIPAL DE BARRA DO BUGRES </v>
      </c>
      <c r="B2" s="1505"/>
      <c r="C2" s="1505"/>
      <c r="D2" s="1505"/>
      <c r="E2" s="1505"/>
      <c r="F2" s="1506"/>
    </row>
    <row r="3" spans="1:6" ht="15.75" x14ac:dyDescent="0.2">
      <c r="A3" s="647" t="s">
        <v>56</v>
      </c>
      <c r="B3" s="1488" t="str">
        <f>Terrap.!B3</f>
        <v>PAVIMENTAÇÃO ASFALTICA E DRENAGEM DE AGUAS PLUVIAIS</v>
      </c>
      <c r="C3" s="1488"/>
      <c r="D3" s="1488"/>
      <c r="E3" s="1488"/>
      <c r="F3" s="1489"/>
    </row>
    <row r="4" spans="1:6" ht="15.75" x14ac:dyDescent="0.2">
      <c r="A4" s="647" t="s">
        <v>57</v>
      </c>
      <c r="B4" s="649" t="str">
        <f>Terrap.!B4</f>
        <v>DIVERSAS RUAS - PERIMETRO URBANO</v>
      </c>
      <c r="C4" s="649"/>
      <c r="D4" s="1490" t="s">
        <v>60</v>
      </c>
      <c r="E4" s="1490"/>
      <c r="F4" s="650">
        <f>Terrap.!F6</f>
        <v>0.26740000000000003</v>
      </c>
    </row>
    <row r="5" spans="1:6" ht="15.75" x14ac:dyDescent="0.2">
      <c r="A5" s="647" t="s">
        <v>58</v>
      </c>
      <c r="B5" s="649" t="str">
        <f>Terrap.!B5</f>
        <v xml:space="preserve">PREFEITURA MUNICIPAL DE BARRA DO BUGRES </v>
      </c>
      <c r="C5" s="649"/>
      <c r="D5" s="1228" t="str">
        <f>Terrap.!I3</f>
        <v>SINAPI - MARÇO / 2020                                                                                                                               ANP - NOV/2019 (desonerado) SICRO OUT/2019</v>
      </c>
      <c r="E5" s="1228"/>
      <c r="F5" s="1229"/>
    </row>
    <row r="6" spans="1:6" ht="16.5" thickBot="1" x14ac:dyDescent="0.25">
      <c r="A6" s="648" t="s">
        <v>59</v>
      </c>
      <c r="B6" s="651">
        <f>Terrap.!B6</f>
        <v>8721.93</v>
      </c>
      <c r="C6" s="406" t="s">
        <v>61</v>
      </c>
      <c r="D6" s="1230"/>
      <c r="E6" s="1230"/>
      <c r="F6" s="1231"/>
    </row>
    <row r="7" spans="1:6" ht="16.5" thickBot="1" x14ac:dyDescent="0.25">
      <c r="A7" s="1485" t="s">
        <v>331</v>
      </c>
      <c r="B7" s="1486"/>
      <c r="C7" s="1486"/>
      <c r="D7" s="1486"/>
      <c r="E7" s="1486"/>
      <c r="F7" s="1487"/>
    </row>
    <row r="8" spans="1:6" ht="13.5" thickBot="1" x14ac:dyDescent="0.25">
      <c r="A8" s="813" t="s">
        <v>575</v>
      </c>
      <c r="B8" s="1491" t="s">
        <v>102</v>
      </c>
      <c r="C8" s="1491"/>
      <c r="D8" s="1491"/>
      <c r="E8" s="1491"/>
      <c r="F8" s="809" t="s">
        <v>538</v>
      </c>
    </row>
    <row r="9" spans="1:6" x14ac:dyDescent="0.2">
      <c r="A9" s="1492" t="s">
        <v>674</v>
      </c>
      <c r="B9" s="1492"/>
      <c r="C9" s="1492"/>
      <c r="D9" s="1492"/>
      <c r="E9" s="1492"/>
      <c r="F9" s="1493"/>
    </row>
    <row r="10" spans="1:6" x14ac:dyDescent="0.2">
      <c r="A10" s="1497" t="s">
        <v>365</v>
      </c>
      <c r="B10" s="1497"/>
      <c r="C10" s="1497"/>
      <c r="D10" s="1497"/>
      <c r="E10" s="1497"/>
      <c r="F10" s="1498"/>
    </row>
    <row r="11" spans="1:6" ht="38.25" x14ac:dyDescent="0.2">
      <c r="A11" s="222" t="s">
        <v>663</v>
      </c>
      <c r="B11" s="299" t="s">
        <v>551</v>
      </c>
      <c r="C11" s="37" t="s">
        <v>540</v>
      </c>
      <c r="D11" s="954">
        <v>1</v>
      </c>
      <c r="E11" s="954">
        <v>3.02</v>
      </c>
      <c r="F11" s="955">
        <f>E11*D11</f>
        <v>3.02</v>
      </c>
    </row>
    <row r="12" spans="1:6" ht="38.25" x14ac:dyDescent="0.2">
      <c r="A12" s="222" t="s">
        <v>664</v>
      </c>
      <c r="B12" s="299" t="s">
        <v>665</v>
      </c>
      <c r="C12" s="37" t="s">
        <v>540</v>
      </c>
      <c r="D12" s="954">
        <v>4</v>
      </c>
      <c r="E12" s="954">
        <v>5.58</v>
      </c>
      <c r="F12" s="955">
        <f t="shared" ref="F12:F17" si="0">E12*D12</f>
        <v>22.32</v>
      </c>
    </row>
    <row r="13" spans="1:6" ht="38.25" x14ac:dyDescent="0.2">
      <c r="A13" s="222" t="s">
        <v>666</v>
      </c>
      <c r="B13" s="299" t="s">
        <v>667</v>
      </c>
      <c r="C13" s="37" t="s">
        <v>538</v>
      </c>
      <c r="D13" s="954">
        <v>1</v>
      </c>
      <c r="E13" s="954">
        <v>300</v>
      </c>
      <c r="F13" s="955">
        <f t="shared" si="0"/>
        <v>300</v>
      </c>
    </row>
    <row r="14" spans="1:6" x14ac:dyDescent="0.2">
      <c r="A14" s="222" t="s">
        <v>668</v>
      </c>
      <c r="B14" s="299" t="s">
        <v>669</v>
      </c>
      <c r="C14" s="37" t="s">
        <v>330</v>
      </c>
      <c r="D14" s="954">
        <v>0.11</v>
      </c>
      <c r="E14" s="954">
        <v>11.18</v>
      </c>
      <c r="F14" s="955">
        <f t="shared" si="0"/>
        <v>1.23</v>
      </c>
    </row>
    <row r="15" spans="1:6" ht="25.5" x14ac:dyDescent="0.2">
      <c r="A15" s="222" t="s">
        <v>670</v>
      </c>
      <c r="B15" s="299" t="s">
        <v>555</v>
      </c>
      <c r="C15" s="37" t="s">
        <v>193</v>
      </c>
      <c r="D15" s="954">
        <v>1</v>
      </c>
      <c r="E15" s="954">
        <v>17.64</v>
      </c>
      <c r="F15" s="955">
        <f t="shared" si="0"/>
        <v>17.64</v>
      </c>
    </row>
    <row r="16" spans="1:6" x14ac:dyDescent="0.2">
      <c r="A16" s="222" t="s">
        <v>646</v>
      </c>
      <c r="B16" s="299" t="s">
        <v>296</v>
      </c>
      <c r="C16" s="37" t="s">
        <v>193</v>
      </c>
      <c r="D16" s="954">
        <v>2</v>
      </c>
      <c r="E16" s="954">
        <v>14.37</v>
      </c>
      <c r="F16" s="955">
        <f t="shared" si="0"/>
        <v>28.74</v>
      </c>
    </row>
    <row r="17" spans="1:6" ht="38.25" x14ac:dyDescent="0.2">
      <c r="A17" s="222" t="s">
        <v>671</v>
      </c>
      <c r="B17" s="299" t="s">
        <v>672</v>
      </c>
      <c r="C17" s="37" t="s">
        <v>539</v>
      </c>
      <c r="D17" s="954">
        <v>0.01</v>
      </c>
      <c r="E17" s="954">
        <v>255.85</v>
      </c>
      <c r="F17" s="955">
        <f t="shared" si="0"/>
        <v>2.56</v>
      </c>
    </row>
    <row r="18" spans="1:6" x14ac:dyDescent="0.2">
      <c r="A18" s="222"/>
      <c r="B18" s="299"/>
      <c r="C18" s="37"/>
      <c r="D18" s="954"/>
      <c r="E18" s="954"/>
      <c r="F18" s="955"/>
    </row>
    <row r="19" spans="1:6" x14ac:dyDescent="0.2">
      <c r="A19" s="222" t="s">
        <v>367</v>
      </c>
      <c r="B19" s="299"/>
      <c r="C19" s="37"/>
      <c r="D19" s="954"/>
      <c r="E19" s="954"/>
      <c r="F19" s="955">
        <f>SUM(F11:F18)</f>
        <v>375.51</v>
      </c>
    </row>
    <row r="20" spans="1:6" ht="13.5" thickBot="1" x14ac:dyDescent="0.25">
      <c r="A20" s="222"/>
      <c r="B20" s="299"/>
      <c r="C20" s="37"/>
      <c r="D20" s="189"/>
      <c r="E20" s="190"/>
      <c r="F20" s="693"/>
    </row>
    <row r="21" spans="1:6" ht="13.5" thickBot="1" x14ac:dyDescent="0.25">
      <c r="A21" s="969" t="s">
        <v>577</v>
      </c>
      <c r="B21" s="1513" t="s">
        <v>715</v>
      </c>
      <c r="C21" s="1513"/>
      <c r="D21" s="1513"/>
      <c r="E21" s="1513"/>
      <c r="F21" s="970" t="s">
        <v>538</v>
      </c>
    </row>
    <row r="22" spans="1:6" x14ac:dyDescent="0.2">
      <c r="A22" s="1507" t="s">
        <v>716</v>
      </c>
      <c r="B22" s="1508"/>
      <c r="C22" s="1508"/>
      <c r="D22" s="1508"/>
      <c r="E22" s="1508"/>
      <c r="F22" s="1509"/>
    </row>
    <row r="23" spans="1:6" x14ac:dyDescent="0.2">
      <c r="A23" s="975" t="s">
        <v>357</v>
      </c>
      <c r="B23" s="971" t="s">
        <v>181</v>
      </c>
      <c r="C23" s="961" t="s">
        <v>182</v>
      </c>
      <c r="D23" s="961" t="s">
        <v>183</v>
      </c>
      <c r="E23" s="961" t="s">
        <v>184</v>
      </c>
      <c r="F23" s="976" t="s">
        <v>185</v>
      </c>
    </row>
    <row r="24" spans="1:6" ht="38.25" x14ac:dyDescent="0.2">
      <c r="A24" s="977" t="s">
        <v>713</v>
      </c>
      <c r="B24" s="958" t="s">
        <v>708</v>
      </c>
      <c r="C24" s="957" t="s">
        <v>188</v>
      </c>
      <c r="D24" s="972" t="s">
        <v>709</v>
      </c>
      <c r="E24" s="972">
        <v>4.7699999999999996</v>
      </c>
      <c r="F24" s="978">
        <f t="shared" ref="F24:F31" si="1">ROUND((D24*E24),3)</f>
        <v>0.01</v>
      </c>
    </row>
    <row r="25" spans="1:6" ht="38.25" x14ac:dyDescent="0.2">
      <c r="A25" s="977" t="s">
        <v>714</v>
      </c>
      <c r="B25" s="958" t="s">
        <v>710</v>
      </c>
      <c r="C25" s="957" t="s">
        <v>190</v>
      </c>
      <c r="D25" s="972" t="s">
        <v>691</v>
      </c>
      <c r="E25" s="972">
        <v>2.27</v>
      </c>
      <c r="F25" s="978">
        <f t="shared" si="1"/>
        <v>0.01</v>
      </c>
    </row>
    <row r="26" spans="1:6" ht="25.5" x14ac:dyDescent="0.2">
      <c r="A26" s="953" t="s">
        <v>673</v>
      </c>
      <c r="B26" s="958" t="s">
        <v>711</v>
      </c>
      <c r="C26" s="957" t="s">
        <v>330</v>
      </c>
      <c r="D26" s="972">
        <v>1.2</v>
      </c>
      <c r="E26" s="972">
        <v>4.43</v>
      </c>
      <c r="F26" s="978">
        <f t="shared" si="1"/>
        <v>5.32</v>
      </c>
    </row>
    <row r="27" spans="1:6" ht="63.75" x14ac:dyDescent="0.2">
      <c r="A27" s="977" t="s">
        <v>702</v>
      </c>
      <c r="B27" s="958" t="s">
        <v>351</v>
      </c>
      <c r="C27" s="957" t="s">
        <v>188</v>
      </c>
      <c r="D27" s="972" t="s">
        <v>689</v>
      </c>
      <c r="E27" s="984">
        <v>181.3</v>
      </c>
      <c r="F27" s="978">
        <f t="shared" si="1"/>
        <v>0.18</v>
      </c>
    </row>
    <row r="28" spans="1:6" x14ac:dyDescent="0.2">
      <c r="A28" s="977" t="s">
        <v>646</v>
      </c>
      <c r="B28" s="958" t="s">
        <v>296</v>
      </c>
      <c r="C28" s="957" t="s">
        <v>193</v>
      </c>
      <c r="D28" s="972" t="s">
        <v>686</v>
      </c>
      <c r="E28" s="972">
        <v>14.37</v>
      </c>
      <c r="F28" s="978">
        <f t="shared" si="1"/>
        <v>0.09</v>
      </c>
    </row>
    <row r="29" spans="1:6" ht="38.25" x14ac:dyDescent="0.2">
      <c r="A29" s="977" t="s">
        <v>703</v>
      </c>
      <c r="B29" s="958" t="s">
        <v>683</v>
      </c>
      <c r="C29" s="957" t="s">
        <v>188</v>
      </c>
      <c r="D29" s="972" t="s">
        <v>709</v>
      </c>
      <c r="E29" s="972">
        <v>107.08</v>
      </c>
      <c r="F29" s="978">
        <f t="shared" si="1"/>
        <v>0.21</v>
      </c>
    </row>
    <row r="30" spans="1:6" ht="38.25" x14ac:dyDescent="0.2">
      <c r="A30" s="977" t="s">
        <v>704</v>
      </c>
      <c r="B30" s="958" t="s">
        <v>684</v>
      </c>
      <c r="C30" s="957" t="s">
        <v>190</v>
      </c>
      <c r="D30" s="972" t="s">
        <v>691</v>
      </c>
      <c r="E30" s="972">
        <v>21.74</v>
      </c>
      <c r="F30" s="978">
        <f t="shared" si="1"/>
        <v>0.09</v>
      </c>
    </row>
    <row r="31" spans="1:6" ht="63.75" x14ac:dyDescent="0.2">
      <c r="A31" s="977" t="s">
        <v>706</v>
      </c>
      <c r="B31" s="958" t="s">
        <v>423</v>
      </c>
      <c r="C31" s="957" t="s">
        <v>190</v>
      </c>
      <c r="D31" s="972" t="s">
        <v>712</v>
      </c>
      <c r="E31" s="972">
        <v>31.79</v>
      </c>
      <c r="F31" s="978">
        <f t="shared" si="1"/>
        <v>0.16</v>
      </c>
    </row>
    <row r="32" spans="1:6" x14ac:dyDescent="0.2">
      <c r="A32" s="977"/>
      <c r="B32" s="958"/>
      <c r="C32" s="957"/>
      <c r="D32" s="982"/>
      <c r="E32" s="974"/>
      <c r="F32" s="979"/>
    </row>
    <row r="33" spans="1:8" ht="13.5" thickBot="1" x14ac:dyDescent="0.25">
      <c r="A33" s="1495" t="s">
        <v>557</v>
      </c>
      <c r="B33" s="1496"/>
      <c r="C33" s="1496"/>
      <c r="D33" s="1496"/>
      <c r="E33" s="1496"/>
      <c r="F33" s="983">
        <f>SUM(F24:F32)</f>
        <v>6.07</v>
      </c>
    </row>
    <row r="34" spans="1:8" ht="16.5" thickBot="1" x14ac:dyDescent="0.25">
      <c r="A34" s="810"/>
      <c r="B34" s="811"/>
      <c r="C34" s="811"/>
      <c r="D34" s="811"/>
      <c r="E34" s="811"/>
      <c r="F34" s="812"/>
    </row>
    <row r="35" spans="1:8" s="814" customFormat="1" ht="26.25" customHeight="1" thickBot="1" x14ac:dyDescent="0.25">
      <c r="A35" s="969" t="s">
        <v>578</v>
      </c>
      <c r="B35" s="1510" t="s">
        <v>707</v>
      </c>
      <c r="C35" s="1511"/>
      <c r="D35" s="1511"/>
      <c r="E35" s="1512"/>
      <c r="F35" s="970" t="s">
        <v>538</v>
      </c>
    </row>
    <row r="36" spans="1:8" x14ac:dyDescent="0.2">
      <c r="A36" s="1507" t="s">
        <v>678</v>
      </c>
      <c r="B36" s="1508"/>
      <c r="C36" s="1508"/>
      <c r="D36" s="1508"/>
      <c r="E36" s="1508"/>
      <c r="F36" s="1509"/>
    </row>
    <row r="37" spans="1:8" ht="13.5" thickBot="1" x14ac:dyDescent="0.25">
      <c r="A37" s="975" t="s">
        <v>186</v>
      </c>
      <c r="B37" s="971" t="s">
        <v>181</v>
      </c>
      <c r="C37" s="961" t="s">
        <v>182</v>
      </c>
      <c r="D37" s="961" t="s">
        <v>183</v>
      </c>
      <c r="E37" s="961" t="s">
        <v>184</v>
      </c>
      <c r="F37" s="976" t="s">
        <v>185</v>
      </c>
    </row>
    <row r="38" spans="1:8" ht="25.5" x14ac:dyDescent="0.2">
      <c r="A38" s="977" t="s">
        <v>698</v>
      </c>
      <c r="B38" s="958" t="s">
        <v>679</v>
      </c>
      <c r="C38" s="957" t="s">
        <v>539</v>
      </c>
      <c r="D38" s="972" t="s">
        <v>686</v>
      </c>
      <c r="E38" s="972">
        <v>62.5</v>
      </c>
      <c r="F38" s="820">
        <f t="shared" ref="F38:F50" si="2">E38*D38</f>
        <v>0.38</v>
      </c>
      <c r="H38" s="988" t="s">
        <v>720</v>
      </c>
    </row>
    <row r="39" spans="1:8" ht="25.5" x14ac:dyDescent="0.2">
      <c r="A39" s="977" t="s">
        <v>717</v>
      </c>
      <c r="B39" s="958" t="s">
        <v>680</v>
      </c>
      <c r="C39" s="957" t="s">
        <v>539</v>
      </c>
      <c r="D39" s="972" t="s">
        <v>687</v>
      </c>
      <c r="E39" s="972">
        <v>32.14</v>
      </c>
      <c r="F39" s="820">
        <f t="shared" si="2"/>
        <v>0.23</v>
      </c>
      <c r="H39" s="989">
        <f>D39*1400</f>
        <v>10.220000000000001</v>
      </c>
    </row>
    <row r="40" spans="1:8" ht="26.25" thickBot="1" x14ac:dyDescent="0.25">
      <c r="A40" s="977" t="s">
        <v>717</v>
      </c>
      <c r="B40" s="958" t="s">
        <v>681</v>
      </c>
      <c r="C40" s="957" t="s">
        <v>539</v>
      </c>
      <c r="D40" s="972" t="s">
        <v>688</v>
      </c>
      <c r="E40" s="972">
        <v>22.86</v>
      </c>
      <c r="F40" s="820">
        <f t="shared" si="2"/>
        <v>0.34</v>
      </c>
      <c r="H40" s="990">
        <f>D40*1400</f>
        <v>21</v>
      </c>
    </row>
    <row r="41" spans="1:8" ht="51" x14ac:dyDescent="0.2">
      <c r="A41" s="977" t="s">
        <v>699</v>
      </c>
      <c r="B41" s="958" t="s">
        <v>385</v>
      </c>
      <c r="C41" s="957" t="s">
        <v>188</v>
      </c>
      <c r="D41" s="972" t="s">
        <v>689</v>
      </c>
      <c r="E41" s="972">
        <v>111.38</v>
      </c>
      <c r="F41" s="820">
        <f t="shared" si="2"/>
        <v>0.11</v>
      </c>
    </row>
    <row r="42" spans="1:8" ht="51" x14ac:dyDescent="0.2">
      <c r="A42" s="977" t="s">
        <v>700</v>
      </c>
      <c r="B42" s="958" t="s">
        <v>386</v>
      </c>
      <c r="C42" s="957" t="s">
        <v>190</v>
      </c>
      <c r="D42" s="972" t="s">
        <v>690</v>
      </c>
      <c r="E42" s="972">
        <v>40.26</v>
      </c>
      <c r="F42" s="820">
        <f t="shared" si="2"/>
        <v>0.12</v>
      </c>
    </row>
    <row r="43" spans="1:8" ht="38.25" x14ac:dyDescent="0.2">
      <c r="A43" s="977" t="s">
        <v>701</v>
      </c>
      <c r="B43" s="958" t="s">
        <v>424</v>
      </c>
      <c r="C43" s="957" t="s">
        <v>188</v>
      </c>
      <c r="D43" s="972" t="s">
        <v>691</v>
      </c>
      <c r="E43" s="972">
        <v>147.12</v>
      </c>
      <c r="F43" s="820">
        <f t="shared" si="2"/>
        <v>0.59</v>
      </c>
    </row>
    <row r="44" spans="1:8" ht="38.25" x14ac:dyDescent="0.2">
      <c r="A44" s="953" t="s">
        <v>673</v>
      </c>
      <c r="B44" s="958" t="s">
        <v>682</v>
      </c>
      <c r="C44" s="957" t="s">
        <v>330</v>
      </c>
      <c r="D44" s="972">
        <v>4.8</v>
      </c>
      <c r="E44" s="972">
        <v>1.67</v>
      </c>
      <c r="F44" s="820">
        <f t="shared" si="2"/>
        <v>8.02</v>
      </c>
    </row>
    <row r="45" spans="1:8" ht="63.75" x14ac:dyDescent="0.2">
      <c r="A45" s="977" t="s">
        <v>702</v>
      </c>
      <c r="B45" s="958" t="s">
        <v>351</v>
      </c>
      <c r="C45" s="957" t="s">
        <v>188</v>
      </c>
      <c r="D45" s="972" t="s">
        <v>692</v>
      </c>
      <c r="E45" s="972">
        <v>181.3</v>
      </c>
      <c r="F45" s="820">
        <f t="shared" si="2"/>
        <v>0.24</v>
      </c>
    </row>
    <row r="46" spans="1:8" x14ac:dyDescent="0.2">
      <c r="A46" s="977" t="s">
        <v>646</v>
      </c>
      <c r="B46" s="958" t="s">
        <v>296</v>
      </c>
      <c r="C46" s="957" t="s">
        <v>193</v>
      </c>
      <c r="D46" s="972" t="s">
        <v>693</v>
      </c>
      <c r="E46" s="972">
        <v>14.37</v>
      </c>
      <c r="F46" s="820">
        <f t="shared" si="2"/>
        <v>0.46</v>
      </c>
    </row>
    <row r="47" spans="1:8" ht="38.25" x14ac:dyDescent="0.2">
      <c r="A47" s="977" t="s">
        <v>703</v>
      </c>
      <c r="B47" s="958" t="s">
        <v>683</v>
      </c>
      <c r="C47" s="957" t="s">
        <v>188</v>
      </c>
      <c r="D47" s="972" t="s">
        <v>694</v>
      </c>
      <c r="E47" s="972">
        <v>107.08</v>
      </c>
      <c r="F47" s="820">
        <f t="shared" si="2"/>
        <v>0.09</v>
      </c>
    </row>
    <row r="48" spans="1:8" ht="38.25" x14ac:dyDescent="0.2">
      <c r="A48" s="977" t="s">
        <v>704</v>
      </c>
      <c r="B48" s="958" t="s">
        <v>684</v>
      </c>
      <c r="C48" s="957" t="s">
        <v>190</v>
      </c>
      <c r="D48" s="972" t="s">
        <v>695</v>
      </c>
      <c r="E48" s="972">
        <v>21.74</v>
      </c>
      <c r="F48" s="820">
        <f t="shared" si="2"/>
        <v>7.0000000000000007E-2</v>
      </c>
    </row>
    <row r="49" spans="1:9" ht="63.75" x14ac:dyDescent="0.2">
      <c r="A49" s="977" t="s">
        <v>705</v>
      </c>
      <c r="B49" s="958" t="s">
        <v>685</v>
      </c>
      <c r="C49" s="957" t="s">
        <v>188</v>
      </c>
      <c r="D49" s="972" t="s">
        <v>696</v>
      </c>
      <c r="E49" s="972">
        <v>150.63</v>
      </c>
      <c r="F49" s="820">
        <f t="shared" si="2"/>
        <v>0.09</v>
      </c>
    </row>
    <row r="50" spans="1:9" ht="63.75" x14ac:dyDescent="0.2">
      <c r="A50" s="977" t="s">
        <v>706</v>
      </c>
      <c r="B50" s="958" t="s">
        <v>423</v>
      </c>
      <c r="C50" s="957" t="s">
        <v>190</v>
      </c>
      <c r="D50" s="972" t="s">
        <v>697</v>
      </c>
      <c r="E50" s="972">
        <v>31.79</v>
      </c>
      <c r="F50" s="820">
        <f t="shared" si="2"/>
        <v>0.09</v>
      </c>
      <c r="H50" s="980"/>
      <c r="I50" s="980"/>
    </row>
    <row r="51" spans="1:9" x14ac:dyDescent="0.2">
      <c r="A51" s="965"/>
      <c r="B51" s="958"/>
      <c r="C51" s="957"/>
      <c r="D51" s="973"/>
      <c r="E51" s="974"/>
      <c r="F51" s="979"/>
      <c r="H51" s="917"/>
      <c r="I51" s="917"/>
    </row>
    <row r="52" spans="1:9" ht="13.5" thickBot="1" x14ac:dyDescent="0.25">
      <c r="A52" s="1495" t="s">
        <v>557</v>
      </c>
      <c r="B52" s="1496"/>
      <c r="C52" s="1496"/>
      <c r="D52" s="1496"/>
      <c r="E52" s="1496"/>
      <c r="F52" s="968">
        <f>SUM(F38:F50)</f>
        <v>10.83</v>
      </c>
      <c r="H52" s="981"/>
      <c r="I52" s="981"/>
    </row>
    <row r="53" spans="1:9" ht="13.5" thickBot="1" x14ac:dyDescent="0.25">
      <c r="A53" s="194"/>
      <c r="B53" s="195"/>
      <c r="C53" s="195"/>
      <c r="D53" s="195"/>
      <c r="E53" s="195"/>
      <c r="F53" s="195"/>
      <c r="H53" s="980"/>
      <c r="I53" s="980"/>
    </row>
    <row r="54" spans="1:9" ht="13.5" thickBot="1" x14ac:dyDescent="0.25">
      <c r="A54" s="813" t="s">
        <v>579</v>
      </c>
      <c r="B54" s="1491" t="s">
        <v>558</v>
      </c>
      <c r="C54" s="1491"/>
      <c r="D54" s="1491"/>
      <c r="E54" s="1491"/>
      <c r="F54" s="809" t="s">
        <v>49</v>
      </c>
    </row>
    <row r="55" spans="1:9" x14ac:dyDescent="0.2">
      <c r="A55" s="1492" t="s">
        <v>550</v>
      </c>
      <c r="B55" s="1492"/>
      <c r="C55" s="1492"/>
      <c r="D55" s="1492"/>
      <c r="E55" s="1492"/>
      <c r="F55" s="1493"/>
    </row>
    <row r="56" spans="1:9" x14ac:dyDescent="0.2">
      <c r="A56" s="1497" t="s">
        <v>365</v>
      </c>
      <c r="B56" s="1497"/>
      <c r="C56" s="1497"/>
      <c r="D56" s="1497"/>
      <c r="E56" s="1497"/>
      <c r="F56" s="1498"/>
    </row>
    <row r="57" spans="1:9" ht="38.25" x14ac:dyDescent="0.2">
      <c r="A57" s="815">
        <v>4417</v>
      </c>
      <c r="B57" s="816" t="s">
        <v>551</v>
      </c>
      <c r="C57" s="817" t="s">
        <v>540</v>
      </c>
      <c r="D57" s="818">
        <v>1.4</v>
      </c>
      <c r="E57" s="819">
        <v>3.02</v>
      </c>
      <c r="F57" s="820">
        <f>E57*D57</f>
        <v>4.2300000000000004</v>
      </c>
    </row>
    <row r="58" spans="1:9" ht="38.25" x14ac:dyDescent="0.2">
      <c r="A58" s="815">
        <v>4433</v>
      </c>
      <c r="B58" s="816" t="s">
        <v>552</v>
      </c>
      <c r="C58" s="817" t="s">
        <v>540</v>
      </c>
      <c r="D58" s="818">
        <v>3</v>
      </c>
      <c r="E58" s="819">
        <v>6.96</v>
      </c>
      <c r="F58" s="820">
        <f>E58*D58</f>
        <v>20.88</v>
      </c>
    </row>
    <row r="59" spans="1:9" x14ac:dyDescent="0.2">
      <c r="A59" s="815">
        <v>7288</v>
      </c>
      <c r="B59" s="816" t="s">
        <v>553</v>
      </c>
      <c r="C59" s="817" t="s">
        <v>554</v>
      </c>
      <c r="D59" s="818">
        <v>0.33</v>
      </c>
      <c r="E59" s="819">
        <v>26.22</v>
      </c>
      <c r="F59" s="820">
        <f>E59*D59</f>
        <v>8.65</v>
      </c>
    </row>
    <row r="60" spans="1:9" x14ac:dyDescent="0.2">
      <c r="A60" s="1494" t="s">
        <v>367</v>
      </c>
      <c r="B60" s="1494"/>
      <c r="C60" s="1494"/>
      <c r="D60" s="1494"/>
      <c r="E60" s="1494"/>
      <c r="F60" s="827">
        <f>SUM(F57:F59)</f>
        <v>33.76</v>
      </c>
    </row>
    <row r="61" spans="1:9" x14ac:dyDescent="0.2">
      <c r="A61" s="1497" t="s">
        <v>366</v>
      </c>
      <c r="B61" s="1497"/>
      <c r="C61" s="1497"/>
      <c r="D61" s="1497"/>
      <c r="E61" s="1497"/>
      <c r="F61" s="1498"/>
    </row>
    <row r="62" spans="1:9" ht="25.5" x14ac:dyDescent="0.2">
      <c r="A62" s="821">
        <v>88262</v>
      </c>
      <c r="B62" s="822" t="s">
        <v>555</v>
      </c>
      <c r="C62" s="823" t="s">
        <v>193</v>
      </c>
      <c r="D62" s="824">
        <v>1</v>
      </c>
      <c r="E62" s="825">
        <v>17.64</v>
      </c>
      <c r="F62" s="826">
        <f>E62*D62</f>
        <v>17.64</v>
      </c>
    </row>
    <row r="63" spans="1:9" x14ac:dyDescent="0.2">
      <c r="A63" s="821">
        <v>88310</v>
      </c>
      <c r="B63" s="822" t="s">
        <v>556</v>
      </c>
      <c r="C63" s="823" t="s">
        <v>193</v>
      </c>
      <c r="D63" s="824">
        <v>0.5</v>
      </c>
      <c r="E63" s="825">
        <v>18.88</v>
      </c>
      <c r="F63" s="826">
        <f>E63*D63</f>
        <v>9.44</v>
      </c>
    </row>
    <row r="64" spans="1:9" x14ac:dyDescent="0.2">
      <c r="A64" s="821">
        <v>88316</v>
      </c>
      <c r="B64" s="822" t="s">
        <v>296</v>
      </c>
      <c r="C64" s="823" t="s">
        <v>193</v>
      </c>
      <c r="D64" s="824">
        <v>2</v>
      </c>
      <c r="E64" s="825">
        <v>14.37</v>
      </c>
      <c r="F64" s="826">
        <f>E64*D64</f>
        <v>28.74</v>
      </c>
    </row>
    <row r="65" spans="1:6" x14ac:dyDescent="0.2">
      <c r="A65" s="1494" t="s">
        <v>367</v>
      </c>
      <c r="B65" s="1494"/>
      <c r="C65" s="1494"/>
      <c r="D65" s="1494"/>
      <c r="E65" s="1494"/>
      <c r="F65" s="827">
        <f>SUM(F62:F64)</f>
        <v>55.82</v>
      </c>
    </row>
    <row r="66" spans="1:6" x14ac:dyDescent="0.2">
      <c r="A66" s="1494" t="s">
        <v>557</v>
      </c>
      <c r="B66" s="1494"/>
      <c r="C66" s="1494"/>
      <c r="D66" s="1494"/>
      <c r="E66" s="1494"/>
      <c r="F66" s="827">
        <f>F65+F60</f>
        <v>89.58</v>
      </c>
    </row>
    <row r="67" spans="1:6" ht="13.5" thickBot="1" x14ac:dyDescent="0.25">
      <c r="A67" s="842"/>
      <c r="B67" s="842"/>
      <c r="C67" s="842"/>
      <c r="D67" s="842"/>
      <c r="E67" s="842"/>
      <c r="F67" s="843"/>
    </row>
    <row r="68" spans="1:6" ht="13.5" thickBot="1" x14ac:dyDescent="0.25">
      <c r="A68" s="813" t="s">
        <v>580</v>
      </c>
      <c r="B68" s="1491" t="s">
        <v>569</v>
      </c>
      <c r="C68" s="1491"/>
      <c r="D68" s="1491"/>
      <c r="E68" s="1491"/>
      <c r="F68" s="809" t="s">
        <v>538</v>
      </c>
    </row>
    <row r="69" spans="1:6" x14ac:dyDescent="0.2">
      <c r="A69" s="1492" t="s">
        <v>565</v>
      </c>
      <c r="B69" s="1492"/>
      <c r="C69" s="1492"/>
      <c r="D69" s="1492"/>
      <c r="E69" s="1492"/>
      <c r="F69" s="1493"/>
    </row>
    <row r="70" spans="1:6" x14ac:dyDescent="0.2">
      <c r="A70" s="1497" t="s">
        <v>365</v>
      </c>
      <c r="B70" s="1497"/>
      <c r="C70" s="1497"/>
      <c r="D70" s="1497"/>
      <c r="E70" s="1497"/>
      <c r="F70" s="1498"/>
    </row>
    <row r="71" spans="1:6" ht="38.25" x14ac:dyDescent="0.2">
      <c r="A71" s="815">
        <v>11950</v>
      </c>
      <c r="B71" s="816" t="s">
        <v>566</v>
      </c>
      <c r="C71" s="817" t="s">
        <v>567</v>
      </c>
      <c r="D71" s="818">
        <v>4</v>
      </c>
      <c r="E71" s="819">
        <v>0.14000000000000001</v>
      </c>
      <c r="F71" s="820">
        <f>E71*D71</f>
        <v>0.56000000000000005</v>
      </c>
    </row>
    <row r="72" spans="1:6" ht="25.5" x14ac:dyDescent="0.2">
      <c r="A72" s="815">
        <v>34723</v>
      </c>
      <c r="B72" s="816" t="s">
        <v>568</v>
      </c>
      <c r="C72" s="817" t="s">
        <v>538</v>
      </c>
      <c r="D72" s="818">
        <v>1</v>
      </c>
      <c r="E72" s="819">
        <v>693</v>
      </c>
      <c r="F72" s="820">
        <f>E72*D72</f>
        <v>693</v>
      </c>
    </row>
    <row r="73" spans="1:6" x14ac:dyDescent="0.2">
      <c r="A73" s="815"/>
      <c r="B73" s="816"/>
      <c r="C73" s="817"/>
      <c r="D73" s="818"/>
      <c r="E73" s="819"/>
      <c r="F73" s="820"/>
    </row>
    <row r="74" spans="1:6" x14ac:dyDescent="0.2">
      <c r="A74" s="1494" t="s">
        <v>367</v>
      </c>
      <c r="B74" s="1494"/>
      <c r="C74" s="1494"/>
      <c r="D74" s="1494"/>
      <c r="E74" s="1494"/>
      <c r="F74" s="827">
        <f>SUM(F71:F73)</f>
        <v>693.56</v>
      </c>
    </row>
    <row r="75" spans="1:6" x14ac:dyDescent="0.2">
      <c r="A75" s="1497" t="s">
        <v>366</v>
      </c>
      <c r="B75" s="1497"/>
      <c r="C75" s="1497"/>
      <c r="D75" s="1497"/>
      <c r="E75" s="1497"/>
      <c r="F75" s="1498"/>
    </row>
    <row r="76" spans="1:6" x14ac:dyDescent="0.2">
      <c r="A76" s="821">
        <v>88316</v>
      </c>
      <c r="B76" s="822" t="s">
        <v>296</v>
      </c>
      <c r="C76" s="823" t="s">
        <v>193</v>
      </c>
      <c r="D76" s="824">
        <v>0.4</v>
      </c>
      <c r="E76" s="825">
        <v>14.37</v>
      </c>
      <c r="F76" s="826">
        <f>E76*D76</f>
        <v>5.75</v>
      </c>
    </row>
    <row r="77" spans="1:6" x14ac:dyDescent="0.2">
      <c r="A77" s="1494" t="s">
        <v>367</v>
      </c>
      <c r="B77" s="1494"/>
      <c r="C77" s="1494"/>
      <c r="D77" s="1494"/>
      <c r="E77" s="1494"/>
      <c r="F77" s="827">
        <f>SUM(F76:F76)</f>
        <v>5.75</v>
      </c>
    </row>
    <row r="78" spans="1:6" x14ac:dyDescent="0.2">
      <c r="A78" s="1494" t="s">
        <v>557</v>
      </c>
      <c r="B78" s="1494"/>
      <c r="C78" s="1494"/>
      <c r="D78" s="1494"/>
      <c r="E78" s="1494"/>
      <c r="F78" s="827">
        <f>F77+F74</f>
        <v>699.31</v>
      </c>
    </row>
    <row r="79" spans="1:6" ht="13.5" thickBot="1" x14ac:dyDescent="0.25">
      <c r="A79" s="842"/>
      <c r="B79" s="842"/>
      <c r="C79" s="842"/>
      <c r="D79" s="842"/>
      <c r="E79" s="842"/>
      <c r="F79" s="843"/>
    </row>
    <row r="80" spans="1:6" ht="13.5" thickBot="1" x14ac:dyDescent="0.25">
      <c r="A80" s="813" t="s">
        <v>647</v>
      </c>
      <c r="B80" s="1491" t="s">
        <v>482</v>
      </c>
      <c r="C80" s="1491"/>
      <c r="D80" s="1491"/>
      <c r="E80" s="1491"/>
      <c r="F80" s="809" t="s">
        <v>49</v>
      </c>
    </row>
    <row r="81" spans="1:6" x14ac:dyDescent="0.2">
      <c r="A81" s="1492"/>
      <c r="B81" s="1492"/>
      <c r="C81" s="1492"/>
      <c r="D81" s="1492"/>
      <c r="E81" s="1492"/>
      <c r="F81" s="1493"/>
    </row>
    <row r="82" spans="1:6" x14ac:dyDescent="0.2">
      <c r="A82" s="1502" t="s">
        <v>365</v>
      </c>
      <c r="B82" s="1502"/>
      <c r="C82" s="1502"/>
      <c r="D82" s="1502"/>
      <c r="E82" s="1502"/>
      <c r="F82" s="1503"/>
    </row>
    <row r="83" spans="1:6" ht="99.75" x14ac:dyDescent="0.2">
      <c r="A83" s="947">
        <v>87280</v>
      </c>
      <c r="B83" s="944" t="s">
        <v>656</v>
      </c>
      <c r="C83" s="945" t="s">
        <v>31</v>
      </c>
      <c r="D83" s="998">
        <v>5.9999999999999995E-4</v>
      </c>
      <c r="E83" s="819">
        <v>267.38</v>
      </c>
      <c r="F83" s="948">
        <f>E83*D83</f>
        <v>0.16</v>
      </c>
    </row>
    <row r="84" spans="1:6" ht="14.25" x14ac:dyDescent="0.2">
      <c r="A84" s="947" t="s">
        <v>660</v>
      </c>
      <c r="B84" s="944" t="s">
        <v>655</v>
      </c>
      <c r="C84" s="945" t="s">
        <v>79</v>
      </c>
      <c r="D84" s="946">
        <v>1</v>
      </c>
      <c r="E84" s="819">
        <f>F96</f>
        <v>4.8</v>
      </c>
      <c r="F84" s="948">
        <f>E84*D84</f>
        <v>4.8</v>
      </c>
    </row>
    <row r="85" spans="1:6" x14ac:dyDescent="0.2">
      <c r="A85" s="815"/>
      <c r="B85" s="816"/>
      <c r="C85" s="817"/>
      <c r="D85" s="818"/>
      <c r="E85" s="819"/>
      <c r="F85" s="948"/>
    </row>
    <row r="86" spans="1:6" x14ac:dyDescent="0.2">
      <c r="A86" s="1497" t="s">
        <v>366</v>
      </c>
      <c r="B86" s="1497"/>
      <c r="C86" s="1497"/>
      <c r="D86" s="1497"/>
      <c r="E86" s="1497"/>
      <c r="F86" s="1497"/>
    </row>
    <row r="87" spans="1:6" ht="25.5" x14ac:dyDescent="0.2">
      <c r="A87" s="821">
        <v>88242</v>
      </c>
      <c r="B87" s="822" t="s">
        <v>378</v>
      </c>
      <c r="C87" s="823" t="s">
        <v>193</v>
      </c>
      <c r="D87" s="824">
        <v>0.08</v>
      </c>
      <c r="E87" s="825">
        <v>14.37</v>
      </c>
      <c r="F87" s="949">
        <f>E87*D87</f>
        <v>1.1499999999999999</v>
      </c>
    </row>
    <row r="88" spans="1:6" x14ac:dyDescent="0.2">
      <c r="A88" s="821">
        <v>88309</v>
      </c>
      <c r="B88" s="822" t="s">
        <v>379</v>
      </c>
      <c r="C88" s="823" t="s">
        <v>193</v>
      </c>
      <c r="D88" s="824">
        <f>D87</f>
        <v>0.08</v>
      </c>
      <c r="E88" s="825">
        <v>17.760000000000002</v>
      </c>
      <c r="F88" s="949">
        <f>E88*D88</f>
        <v>1.42</v>
      </c>
    </row>
    <row r="89" spans="1:6" x14ac:dyDescent="0.2">
      <c r="A89" s="1494" t="s">
        <v>367</v>
      </c>
      <c r="B89" s="1494"/>
      <c r="C89" s="1494"/>
      <c r="D89" s="1494"/>
      <c r="E89" s="1494"/>
      <c r="F89" s="950">
        <f>SUM(F83:F88)</f>
        <v>7.53</v>
      </c>
    </row>
    <row r="90" spans="1:6" ht="13.5" thickBot="1" x14ac:dyDescent="0.25">
      <c r="A90" s="828"/>
      <c r="B90" s="828"/>
      <c r="C90" s="828"/>
      <c r="D90" s="828"/>
      <c r="E90" s="828"/>
      <c r="F90" s="829"/>
    </row>
    <row r="91" spans="1:6" ht="14.25" x14ac:dyDescent="0.2">
      <c r="A91" s="1500" t="s">
        <v>549</v>
      </c>
      <c r="B91" s="1500"/>
      <c r="C91" s="1500"/>
      <c r="D91" s="1500"/>
      <c r="E91" s="1500"/>
      <c r="F91" s="1501"/>
    </row>
    <row r="92" spans="1:6" x14ac:dyDescent="0.2">
      <c r="A92" s="830" t="s">
        <v>474</v>
      </c>
      <c r="B92" s="831" t="s">
        <v>475</v>
      </c>
      <c r="C92" s="832" t="s">
        <v>476</v>
      </c>
      <c r="D92" s="832" t="s">
        <v>477</v>
      </c>
      <c r="E92" s="832" t="s">
        <v>361</v>
      </c>
      <c r="F92" s="833" t="s">
        <v>362</v>
      </c>
    </row>
    <row r="93" spans="1:6" x14ac:dyDescent="0.2">
      <c r="A93" s="834"/>
      <c r="B93" s="835" t="s">
        <v>363</v>
      </c>
      <c r="C93" s="836">
        <v>1</v>
      </c>
      <c r="D93" s="837" t="s">
        <v>478</v>
      </c>
      <c r="E93" s="836">
        <v>4.5</v>
      </c>
      <c r="F93" s="838">
        <v>4.5</v>
      </c>
    </row>
    <row r="94" spans="1:6" x14ac:dyDescent="0.2">
      <c r="A94" s="839"/>
      <c r="B94" s="835" t="s">
        <v>364</v>
      </c>
      <c r="C94" s="836">
        <v>1</v>
      </c>
      <c r="D94" s="836" t="s">
        <v>479</v>
      </c>
      <c r="E94" s="836">
        <v>4.99</v>
      </c>
      <c r="F94" s="838">
        <v>4.99</v>
      </c>
    </row>
    <row r="95" spans="1:6" x14ac:dyDescent="0.2">
      <c r="A95" s="839"/>
      <c r="B95" s="840" t="s">
        <v>480</v>
      </c>
      <c r="C95" s="836">
        <v>1</v>
      </c>
      <c r="D95" s="836" t="s">
        <v>481</v>
      </c>
      <c r="E95" s="836">
        <v>4.8</v>
      </c>
      <c r="F95" s="838">
        <v>4.8</v>
      </c>
    </row>
    <row r="96" spans="1:6" ht="13.5" thickBot="1" x14ac:dyDescent="0.25">
      <c r="A96" s="1499"/>
      <c r="B96" s="1499"/>
      <c r="C96" s="1499"/>
      <c r="D96" s="1499"/>
      <c r="E96" s="1499"/>
      <c r="F96" s="841">
        <f>MEDIAN(F93:F95)</f>
        <v>4.8</v>
      </c>
    </row>
    <row r="111" spans="2:2" x14ac:dyDescent="0.2">
      <c r="B111" s="844" t="str">
        <f>Terrap.!B20</f>
        <v xml:space="preserve">Vinicius Ferreira Fava </v>
      </c>
    </row>
    <row r="112" spans="2:2" x14ac:dyDescent="0.2">
      <c r="B112" s="845" t="str">
        <f>Terrap.!B21</f>
        <v>ENGº CIVIL</v>
      </c>
    </row>
    <row r="113" spans="2:2" x14ac:dyDescent="0.2">
      <c r="B113" s="845" t="str">
        <f>Terrap.!B22</f>
        <v>Crea: 121.286.161-2</v>
      </c>
    </row>
  </sheetData>
  <mergeCells count="36">
    <mergeCell ref="A1:F1"/>
    <mergeCell ref="A2:F2"/>
    <mergeCell ref="A77:E77"/>
    <mergeCell ref="A78:E78"/>
    <mergeCell ref="B68:E68"/>
    <mergeCell ref="A69:F69"/>
    <mergeCell ref="A70:F70"/>
    <mergeCell ref="A74:E74"/>
    <mergeCell ref="A75:F75"/>
    <mergeCell ref="A22:F22"/>
    <mergeCell ref="A36:F36"/>
    <mergeCell ref="B35:E35"/>
    <mergeCell ref="B21:E21"/>
    <mergeCell ref="A9:F9"/>
    <mergeCell ref="A10:F10"/>
    <mergeCell ref="A56:F56"/>
    <mergeCell ref="A96:E96"/>
    <mergeCell ref="A86:F86"/>
    <mergeCell ref="A89:E89"/>
    <mergeCell ref="A91:F91"/>
    <mergeCell ref="A81:F81"/>
    <mergeCell ref="A82:F82"/>
    <mergeCell ref="A7:F7"/>
    <mergeCell ref="B3:F3"/>
    <mergeCell ref="D4:E4"/>
    <mergeCell ref="D5:F6"/>
    <mergeCell ref="B80:E80"/>
    <mergeCell ref="B54:E54"/>
    <mergeCell ref="A55:F55"/>
    <mergeCell ref="A65:E65"/>
    <mergeCell ref="A60:E60"/>
    <mergeCell ref="A66:E66"/>
    <mergeCell ref="A52:E52"/>
    <mergeCell ref="A33:E33"/>
    <mergeCell ref="B8:E8"/>
    <mergeCell ref="A61:F61"/>
  </mergeCells>
  <conditionalFormatting sqref="E92">
    <cfRule type="cellIs" dxfId="0" priority="27" stopIfTrue="1" operator="equal">
      <formula>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74" orientation="portrait" r:id="rId1"/>
  <rowBreaks count="3" manualBreakCount="3">
    <brk id="20" max="5" man="1"/>
    <brk id="53" max="5" man="1"/>
    <brk id="67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27"/>
  <sheetViews>
    <sheetView view="pageBreakPreview" zoomScale="106" zoomScaleSheetLayoutView="106" workbookViewId="0">
      <selection activeCell="J5" sqref="J5"/>
    </sheetView>
  </sheetViews>
  <sheetFormatPr defaultRowHeight="12.75" x14ac:dyDescent="0.2"/>
  <cols>
    <col min="1" max="1" width="16.42578125" style="108" bestFit="1" customWidth="1"/>
    <col min="2" max="2" width="60.7109375" style="108" customWidth="1"/>
    <col min="3" max="3" width="12.140625" style="108" customWidth="1"/>
    <col min="4" max="4" width="17.5703125" style="108" customWidth="1"/>
    <col min="5" max="5" width="11.85546875" style="108" customWidth="1"/>
    <col min="6" max="6" width="10.7109375" style="108" customWidth="1"/>
    <col min="7" max="8" width="9.140625" style="108"/>
    <col min="9" max="9" width="12" style="108" bestFit="1" customWidth="1"/>
    <col min="10" max="16384" width="9.140625" style="108"/>
  </cols>
  <sheetData>
    <row r="1" spans="1:9" ht="15.75" x14ac:dyDescent="0.2">
      <c r="A1" s="1010" t="str">
        <f>Terrap.!A1</f>
        <v>ESTADO DE MATO GROSSO</v>
      </c>
      <c r="B1" s="1011"/>
      <c r="C1" s="1011"/>
      <c r="D1" s="1011"/>
      <c r="E1" s="1011"/>
      <c r="F1" s="1011"/>
      <c r="G1" s="1012"/>
    </row>
    <row r="2" spans="1:9" ht="15.75" x14ac:dyDescent="0.2">
      <c r="A2" s="1514" t="str">
        <f>Terrap.!A2</f>
        <v xml:space="preserve">PREFEITURA MUNICIPAL DE BARRA DO BUGRES </v>
      </c>
      <c r="B2" s="1138"/>
      <c r="C2" s="1138"/>
      <c r="D2" s="1138"/>
      <c r="E2" s="1138"/>
      <c r="F2" s="1138"/>
      <c r="G2" s="1139"/>
    </row>
    <row r="3" spans="1:9" ht="19.5" customHeight="1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140" t="s">
        <v>60</v>
      </c>
      <c r="F3" s="1140"/>
      <c r="G3" s="395">
        <f>Terrap.!F6</f>
        <v>0.26740000000000003</v>
      </c>
    </row>
    <row r="4" spans="1:9" ht="19.5" customHeight="1" x14ac:dyDescent="0.2">
      <c r="A4" s="383" t="s">
        <v>57</v>
      </c>
      <c r="B4" s="1016" t="str">
        <f>Terrap.!B4</f>
        <v>DIVERSAS RUAS - PERIMETRO URBANO</v>
      </c>
      <c r="C4" s="1016"/>
      <c r="D4" s="935" t="s">
        <v>370</v>
      </c>
      <c r="E4" s="1140" t="s">
        <v>61</v>
      </c>
      <c r="F4" s="1140"/>
      <c r="G4" s="1519"/>
    </row>
    <row r="5" spans="1:9" ht="19.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520" t="str">
        <f>Terrap.!F5</f>
        <v>maio 2020</v>
      </c>
      <c r="E5" s="1020" t="str">
        <f>Terrap.!I3</f>
        <v>SINAPI - MARÇO / 2020                                                                                                                               ANP - NOV/2019 (desonerado) SICRO OUT/2019</v>
      </c>
      <c r="F5" s="1020"/>
      <c r="G5" s="1021"/>
    </row>
    <row r="6" spans="1:9" ht="19.5" customHeight="1" thickBot="1" x14ac:dyDescent="0.25">
      <c r="A6" s="386" t="s">
        <v>59</v>
      </c>
      <c r="B6" s="1019">
        <f>Terrap.!B6</f>
        <v>8721.93</v>
      </c>
      <c r="C6" s="1019"/>
      <c r="D6" s="1521"/>
      <c r="E6" s="1022"/>
      <c r="F6" s="1022"/>
      <c r="G6" s="1023"/>
    </row>
    <row r="7" spans="1:9" ht="13.5" thickBot="1" x14ac:dyDescent="0.25"/>
    <row r="8" spans="1:9" ht="27" customHeight="1" thickBot="1" x14ac:dyDescent="0.25">
      <c r="A8" s="1516" t="s">
        <v>331</v>
      </c>
      <c r="B8" s="1517"/>
      <c r="C8" s="1517"/>
      <c r="D8" s="1517"/>
      <c r="E8" s="1517"/>
      <c r="F8" s="1517"/>
      <c r="G8" s="1518"/>
    </row>
    <row r="9" spans="1:9" ht="15.75" x14ac:dyDescent="0.2">
      <c r="A9" s="962" t="s">
        <v>576</v>
      </c>
      <c r="B9" s="1522" t="s">
        <v>525</v>
      </c>
      <c r="C9" s="1523"/>
      <c r="D9" s="1523"/>
      <c r="E9" s="1523"/>
      <c r="F9" s="1524"/>
      <c r="G9" s="298"/>
      <c r="I9" s="453">
        <f>Orçam.!I46</f>
        <v>638066.63</v>
      </c>
    </row>
    <row r="10" spans="1:9" ht="15.75" x14ac:dyDescent="0.2">
      <c r="A10" s="963" t="s">
        <v>526</v>
      </c>
      <c r="B10" s="956" t="s">
        <v>527</v>
      </c>
      <c r="C10" s="956" t="s">
        <v>182</v>
      </c>
      <c r="D10" s="956" t="s">
        <v>68</v>
      </c>
      <c r="E10" s="956" t="s">
        <v>184</v>
      </c>
      <c r="F10" s="964" t="s">
        <v>185</v>
      </c>
      <c r="G10" s="298"/>
      <c r="I10" s="352">
        <f>Orçam.!L46</f>
        <v>0</v>
      </c>
    </row>
    <row r="11" spans="1:9" ht="25.5" x14ac:dyDescent="0.2">
      <c r="A11" s="965">
        <v>90778</v>
      </c>
      <c r="B11" s="958" t="s">
        <v>368</v>
      </c>
      <c r="C11" s="957" t="s">
        <v>193</v>
      </c>
      <c r="D11" s="959">
        <v>140</v>
      </c>
      <c r="E11" s="959">
        <v>89.98</v>
      </c>
      <c r="F11" s="966">
        <f t="shared" ref="F11:F16" si="0">TRUNC((D11*E11),3)</f>
        <v>12597.2</v>
      </c>
      <c r="G11" s="298"/>
      <c r="I11" s="951">
        <f>I9-I10</f>
        <v>638066.63</v>
      </c>
    </row>
    <row r="12" spans="1:9" ht="15.75" x14ac:dyDescent="0.2">
      <c r="A12" s="965">
        <v>90780</v>
      </c>
      <c r="B12" s="958" t="s">
        <v>352</v>
      </c>
      <c r="C12" s="957" t="s">
        <v>193</v>
      </c>
      <c r="D12" s="959">
        <f>D11</f>
        <v>140</v>
      </c>
      <c r="E12" s="959">
        <v>27.82</v>
      </c>
      <c r="F12" s="966">
        <f t="shared" si="0"/>
        <v>3894.8</v>
      </c>
      <c r="G12" s="298"/>
      <c r="I12" s="352"/>
    </row>
    <row r="13" spans="1:9" ht="25.5" x14ac:dyDescent="0.2">
      <c r="A13" s="965">
        <v>90772</v>
      </c>
      <c r="B13" s="958" t="s">
        <v>369</v>
      </c>
      <c r="C13" s="957" t="s">
        <v>193</v>
      </c>
      <c r="D13" s="959">
        <f>D11</f>
        <v>140</v>
      </c>
      <c r="E13" s="959">
        <v>11.4</v>
      </c>
      <c r="F13" s="966">
        <f t="shared" si="0"/>
        <v>1596</v>
      </c>
      <c r="G13" s="298"/>
    </row>
    <row r="14" spans="1:9" ht="15.75" x14ac:dyDescent="0.2">
      <c r="A14" s="965">
        <v>90781</v>
      </c>
      <c r="B14" s="958" t="s">
        <v>602</v>
      </c>
      <c r="C14" s="957" t="s">
        <v>193</v>
      </c>
      <c r="D14" s="959">
        <f>D11</f>
        <v>140</v>
      </c>
      <c r="E14" s="959">
        <v>16.350000000000001</v>
      </c>
      <c r="F14" s="966">
        <f t="shared" si="0"/>
        <v>2289</v>
      </c>
      <c r="G14" s="298"/>
      <c r="I14" s="582">
        <f>Resumo!F12</f>
        <v>4.0500000000000001E-2</v>
      </c>
    </row>
    <row r="15" spans="1:9" ht="15.75" x14ac:dyDescent="0.2">
      <c r="A15" s="965"/>
      <c r="B15" s="958"/>
      <c r="C15" s="957"/>
      <c r="D15" s="960"/>
      <c r="E15" s="960"/>
      <c r="F15" s="966">
        <f t="shared" si="0"/>
        <v>0</v>
      </c>
      <c r="G15" s="298"/>
    </row>
    <row r="16" spans="1:9" ht="15.75" x14ac:dyDescent="0.2">
      <c r="A16" s="965"/>
      <c r="B16" s="958"/>
      <c r="C16" s="957"/>
      <c r="D16" s="960"/>
      <c r="E16" s="960"/>
      <c r="F16" s="966">
        <f t="shared" si="0"/>
        <v>0</v>
      </c>
      <c r="G16" s="298"/>
    </row>
    <row r="17" spans="1:8" ht="16.5" thickBot="1" x14ac:dyDescent="0.25">
      <c r="A17" s="967"/>
      <c r="B17" s="1515" t="s">
        <v>528</v>
      </c>
      <c r="C17" s="1515"/>
      <c r="D17" s="1515"/>
      <c r="E17" s="1515"/>
      <c r="F17" s="968">
        <f>SUM(F11:F16)</f>
        <v>20377</v>
      </c>
      <c r="G17" s="298"/>
    </row>
    <row r="18" spans="1:8" ht="15.75" x14ac:dyDescent="0.2">
      <c r="A18" s="298"/>
      <c r="B18" s="298"/>
      <c r="C18" s="298"/>
      <c r="D18" s="298"/>
      <c r="E18" s="298"/>
      <c r="F18" s="298"/>
      <c r="G18" s="298"/>
    </row>
    <row r="19" spans="1:8" ht="15.75" x14ac:dyDescent="0.2">
      <c r="A19" s="298"/>
      <c r="B19" s="298"/>
      <c r="C19" s="298"/>
      <c r="D19" s="298"/>
      <c r="E19" s="298"/>
      <c r="F19" s="298"/>
      <c r="G19" s="298"/>
    </row>
    <row r="22" spans="1:8" ht="26.25" customHeight="1" x14ac:dyDescent="0.2"/>
    <row r="23" spans="1:8" x14ac:dyDescent="0.2">
      <c r="C23" s="187" t="str">
        <f>Terrap.!B20</f>
        <v xml:space="preserve">Vinicius Ferreira Fava </v>
      </c>
    </row>
    <row r="24" spans="1:8" x14ac:dyDescent="0.2">
      <c r="C24" s="903" t="str">
        <f>Terrap.!B21</f>
        <v>ENGº CIVIL</v>
      </c>
    </row>
    <row r="25" spans="1:8" x14ac:dyDescent="0.2">
      <c r="C25" s="903" t="str">
        <f>Terrap.!B22</f>
        <v>Crea: 121.286.161-2</v>
      </c>
    </row>
    <row r="27" spans="1:8" x14ac:dyDescent="0.2">
      <c r="F27" s="453"/>
      <c r="H27" s="582"/>
    </row>
  </sheetData>
  <mergeCells count="13">
    <mergeCell ref="A1:G1"/>
    <mergeCell ref="A2:G2"/>
    <mergeCell ref="B17:E17"/>
    <mergeCell ref="A8:G8"/>
    <mergeCell ref="B3:D3"/>
    <mergeCell ref="E3:F3"/>
    <mergeCell ref="B6:C6"/>
    <mergeCell ref="B5:C5"/>
    <mergeCell ref="B4:C4"/>
    <mergeCell ref="E4:G4"/>
    <mergeCell ref="E5:G6"/>
    <mergeCell ref="D5:D6"/>
    <mergeCell ref="B9:F9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0"/>
  <sheetViews>
    <sheetView view="pageBreakPreview" zoomScale="112" zoomScaleSheetLayoutView="112" workbookViewId="0">
      <selection activeCell="B18" sqref="B18"/>
    </sheetView>
  </sheetViews>
  <sheetFormatPr defaultRowHeight="12.75" x14ac:dyDescent="0.2"/>
  <cols>
    <col min="1" max="1" width="14.140625" style="448" customWidth="1"/>
    <col min="2" max="2" width="63.5703125" style="416" customWidth="1"/>
    <col min="3" max="3" width="9.140625" style="416"/>
    <col min="4" max="4" width="18.42578125" style="416" customWidth="1"/>
    <col min="5" max="5" width="10.42578125" style="416" customWidth="1"/>
    <col min="6" max="6" width="12.140625" style="416" customWidth="1"/>
    <col min="7" max="16384" width="9.140625" style="416"/>
  </cols>
  <sheetData>
    <row r="1" spans="1:7" ht="15.75" x14ac:dyDescent="0.2">
      <c r="A1" s="1010" t="str">
        <f>Terrap.!A1</f>
        <v>ESTADO DE MATO GROSSO</v>
      </c>
      <c r="B1" s="1011"/>
      <c r="C1" s="1011"/>
      <c r="D1" s="1011"/>
      <c r="E1" s="1011"/>
      <c r="F1" s="1011"/>
      <c r="G1" s="1011"/>
    </row>
    <row r="2" spans="1:7" ht="15.75" x14ac:dyDescent="0.2">
      <c r="A2" s="1013" t="str">
        <f>Terrap.!A2</f>
        <v xml:space="preserve">PREFEITURA MUNICIPAL DE BARRA DO BUGRES </v>
      </c>
      <c r="B2" s="1014"/>
      <c r="C2" s="1014"/>
      <c r="D2" s="1014"/>
      <c r="E2" s="1014"/>
      <c r="F2" s="1014"/>
      <c r="G2" s="1014"/>
    </row>
    <row r="3" spans="1:7" ht="15" x14ac:dyDescent="0.2">
      <c r="A3" s="411" t="s">
        <v>56</v>
      </c>
      <c r="B3" s="1250" t="str">
        <f>Terrap.!B3</f>
        <v>PAVIMENTAÇÃO ASFALTICA E DRENAGEM DE AGUAS PLUVIAIS</v>
      </c>
      <c r="C3" s="1459"/>
      <c r="D3" s="1460"/>
      <c r="E3" s="1140" t="s">
        <v>60</v>
      </c>
      <c r="F3" s="1140"/>
      <c r="G3" s="395">
        <f>Terrap.!F6</f>
        <v>0.26740000000000003</v>
      </c>
    </row>
    <row r="4" spans="1:7" ht="15" x14ac:dyDescent="0.2">
      <c r="A4" s="411" t="s">
        <v>57</v>
      </c>
      <c r="B4" s="1250" t="str">
        <f>Terrap.!B4</f>
        <v>DIVERSAS RUAS - PERIMETRO URBANO</v>
      </c>
      <c r="C4" s="1459"/>
      <c r="D4" s="1460"/>
      <c r="E4" s="1208" t="str">
        <f>Terrap.!I3</f>
        <v>SINAPI - MARÇO / 2020                                                                                                                               ANP - NOV/2019 (desonerado) SICRO OUT/2019</v>
      </c>
      <c r="F4" s="1259"/>
      <c r="G4" s="1259"/>
    </row>
    <row r="5" spans="1:7" ht="15" x14ac:dyDescent="0.2">
      <c r="A5" s="411" t="s">
        <v>58</v>
      </c>
      <c r="B5" s="394" t="str">
        <f>Terrap.!B5</f>
        <v xml:space="preserve">PREFEITURA MUNICIPAL DE BARRA DO BUGRES </v>
      </c>
      <c r="C5" s="385" t="s">
        <v>370</v>
      </c>
      <c r="D5" s="407" t="str">
        <f>Terrap.!F5</f>
        <v>maio 2020</v>
      </c>
      <c r="E5" s="1210"/>
      <c r="F5" s="1260"/>
      <c r="G5" s="1260"/>
    </row>
    <row r="6" spans="1:7" ht="15.75" thickBot="1" x14ac:dyDescent="0.25">
      <c r="A6" s="449" t="s">
        <v>59</v>
      </c>
      <c r="B6" s="1461">
        <f>Terrap.!B6</f>
        <v>8721.93</v>
      </c>
      <c r="C6" s="1463"/>
      <c r="D6" s="387" t="s">
        <v>61</v>
      </c>
      <c r="E6" s="1212"/>
      <c r="F6" s="1261"/>
      <c r="G6" s="1261"/>
    </row>
    <row r="7" spans="1:7" x14ac:dyDescent="0.2">
      <c r="A7" s="1530" t="s">
        <v>373</v>
      </c>
      <c r="B7" s="1531"/>
      <c r="C7" s="1531"/>
      <c r="D7" s="1531"/>
      <c r="E7" s="1531"/>
      <c r="F7" s="1531"/>
      <c r="G7" s="1532"/>
    </row>
    <row r="8" spans="1:7" ht="13.5" thickBot="1" x14ac:dyDescent="0.25">
      <c r="A8" s="1533"/>
      <c r="B8" s="1534"/>
      <c r="C8" s="1534"/>
      <c r="D8" s="1534"/>
      <c r="E8" s="1534"/>
      <c r="F8" s="1534"/>
      <c r="G8" s="1535"/>
    </row>
    <row r="9" spans="1:7" ht="15.75" thickBot="1" x14ac:dyDescent="0.25">
      <c r="A9" s="1525"/>
      <c r="B9" s="1526"/>
      <c r="C9" s="1526"/>
      <c r="D9" s="1526"/>
      <c r="E9" s="1526"/>
      <c r="F9" s="1526"/>
      <c r="G9" s="1526"/>
    </row>
    <row r="10" spans="1:7" ht="36" customHeight="1" x14ac:dyDescent="0.2">
      <c r="A10" s="444" t="s">
        <v>343</v>
      </c>
      <c r="B10" s="1527" t="s">
        <v>344</v>
      </c>
      <c r="C10" s="1528"/>
      <c r="D10" s="1528"/>
      <c r="E10" s="1528"/>
      <c r="F10" s="1529"/>
      <c r="G10" s="450" t="s">
        <v>49</v>
      </c>
    </row>
    <row r="11" spans="1:7" ht="15" x14ac:dyDescent="0.2">
      <c r="A11" s="451" t="s">
        <v>291</v>
      </c>
      <c r="B11" s="419" t="s">
        <v>345</v>
      </c>
      <c r="C11" s="420"/>
      <c r="D11" s="420"/>
      <c r="E11" s="421"/>
      <c r="F11" s="433"/>
      <c r="G11" s="438"/>
    </row>
    <row r="12" spans="1:7" s="448" customFormat="1" ht="15" x14ac:dyDescent="0.2">
      <c r="A12" s="445" t="s">
        <v>357</v>
      </c>
      <c r="B12" s="425" t="s">
        <v>374</v>
      </c>
      <c r="C12" s="425" t="s">
        <v>182</v>
      </c>
      <c r="D12" s="426" t="s">
        <v>183</v>
      </c>
      <c r="E12" s="425" t="s">
        <v>184</v>
      </c>
      <c r="F12" s="425" t="s">
        <v>185</v>
      </c>
      <c r="G12" s="452"/>
    </row>
    <row r="13" spans="1:7" ht="15" x14ac:dyDescent="0.2">
      <c r="A13" s="431">
        <v>90780</v>
      </c>
      <c r="B13" s="422" t="s">
        <v>352</v>
      </c>
      <c r="C13" s="363" t="s">
        <v>197</v>
      </c>
      <c r="D13" s="427">
        <v>29.76</v>
      </c>
      <c r="E13" s="365">
        <v>25.12</v>
      </c>
      <c r="F13" s="365">
        <f>E13*D13</f>
        <v>747.57</v>
      </c>
      <c r="G13" s="438"/>
    </row>
    <row r="14" spans="1:7" ht="15" x14ac:dyDescent="0.2">
      <c r="A14" s="445"/>
      <c r="B14" s="424" t="s">
        <v>198</v>
      </c>
      <c r="C14" s="424"/>
      <c r="D14" s="428"/>
      <c r="E14" s="424"/>
      <c r="F14" s="434">
        <f>F13</f>
        <v>747.57</v>
      </c>
      <c r="G14" s="438"/>
    </row>
    <row r="15" spans="1:7" ht="15" x14ac:dyDescent="0.2">
      <c r="A15" s="431"/>
      <c r="B15" s="422"/>
      <c r="C15" s="422"/>
      <c r="D15" s="423"/>
      <c r="E15" s="422"/>
      <c r="F15" s="422"/>
      <c r="G15" s="438"/>
    </row>
    <row r="16" spans="1:7" ht="15" x14ac:dyDescent="0.2">
      <c r="A16" s="445" t="s">
        <v>357</v>
      </c>
      <c r="B16" s="424" t="s">
        <v>199</v>
      </c>
      <c r="C16" s="425" t="s">
        <v>182</v>
      </c>
      <c r="D16" s="426" t="s">
        <v>183</v>
      </c>
      <c r="E16" s="424" t="s">
        <v>184</v>
      </c>
      <c r="F16" s="424" t="s">
        <v>185</v>
      </c>
      <c r="G16" s="438"/>
    </row>
    <row r="17" spans="1:7" ht="15" x14ac:dyDescent="0.2">
      <c r="A17" s="431" t="s">
        <v>346</v>
      </c>
      <c r="B17" s="429" t="s">
        <v>347</v>
      </c>
      <c r="C17" s="363" t="s">
        <v>31</v>
      </c>
      <c r="D17" s="430">
        <v>1.5960000000000001</v>
      </c>
      <c r="E17" s="365">
        <v>523.39</v>
      </c>
      <c r="F17" s="365">
        <f t="shared" ref="F17:F22" si="0">D17*E17</f>
        <v>835.33</v>
      </c>
      <c r="G17" s="438"/>
    </row>
    <row r="18" spans="1:7" ht="75" x14ac:dyDescent="0.2">
      <c r="A18" s="431">
        <v>84219</v>
      </c>
      <c r="B18" s="439" t="s">
        <v>353</v>
      </c>
      <c r="C18" s="363" t="s">
        <v>6</v>
      </c>
      <c r="D18" s="430">
        <v>5.32</v>
      </c>
      <c r="E18" s="440">
        <v>26.22</v>
      </c>
      <c r="F18" s="365">
        <f t="shared" si="0"/>
        <v>139.49</v>
      </c>
      <c r="G18" s="438"/>
    </row>
    <row r="19" spans="1:7" ht="30" x14ac:dyDescent="0.2">
      <c r="A19" s="431">
        <v>83519</v>
      </c>
      <c r="B19" s="429" t="s">
        <v>355</v>
      </c>
      <c r="C19" s="363" t="s">
        <v>31</v>
      </c>
      <c r="D19" s="430">
        <v>2.82</v>
      </c>
      <c r="E19" s="365">
        <v>389.94</v>
      </c>
      <c r="F19" s="365">
        <f t="shared" si="0"/>
        <v>1099.6300000000001</v>
      </c>
      <c r="G19" s="438"/>
    </row>
    <row r="20" spans="1:7" ht="30" x14ac:dyDescent="0.2">
      <c r="A20" s="432">
        <v>73406</v>
      </c>
      <c r="B20" s="362" t="s">
        <v>354</v>
      </c>
      <c r="C20" s="363" t="s">
        <v>31</v>
      </c>
      <c r="D20" s="364">
        <v>1.5960000000000001</v>
      </c>
      <c r="E20" s="365">
        <v>411.9</v>
      </c>
      <c r="F20" s="365">
        <f t="shared" si="0"/>
        <v>657.39</v>
      </c>
      <c r="G20" s="438"/>
    </row>
    <row r="21" spans="1:7" ht="90" x14ac:dyDescent="0.2">
      <c r="A21" s="441">
        <v>87901</v>
      </c>
      <c r="B21" s="439" t="s">
        <v>356</v>
      </c>
      <c r="C21" s="363" t="s">
        <v>6</v>
      </c>
      <c r="D21" s="364">
        <v>28.2</v>
      </c>
      <c r="E21" s="442">
        <v>5.0199999999999996</v>
      </c>
      <c r="F21" s="365">
        <f t="shared" si="0"/>
        <v>141.56</v>
      </c>
      <c r="G21" s="438"/>
    </row>
    <row r="22" spans="1:7" ht="45" x14ac:dyDescent="0.2">
      <c r="A22" s="432">
        <v>84072</v>
      </c>
      <c r="B22" s="362" t="s">
        <v>349</v>
      </c>
      <c r="C22" s="363" t="s">
        <v>6</v>
      </c>
      <c r="D22" s="364">
        <v>14.1</v>
      </c>
      <c r="E22" s="365">
        <v>24.41</v>
      </c>
      <c r="F22" s="365">
        <f t="shared" si="0"/>
        <v>344.18</v>
      </c>
      <c r="G22" s="438"/>
    </row>
    <row r="23" spans="1:7" ht="15" x14ac:dyDescent="0.2">
      <c r="A23" s="432"/>
      <c r="B23" s="362"/>
      <c r="C23" s="363"/>
      <c r="D23" s="364"/>
      <c r="E23" s="365"/>
      <c r="F23" s="435"/>
      <c r="G23" s="438"/>
    </row>
    <row r="24" spans="1:7" ht="15" x14ac:dyDescent="0.2">
      <c r="A24" s="445"/>
      <c r="B24" s="424" t="s">
        <v>203</v>
      </c>
      <c r="C24" s="424"/>
      <c r="D24" s="424"/>
      <c r="E24" s="424"/>
      <c r="F24" s="434">
        <f>SUM(F17:F22)</f>
        <v>3217.58</v>
      </c>
      <c r="G24" s="438"/>
    </row>
    <row r="25" spans="1:7" ht="15" x14ac:dyDescent="0.2">
      <c r="A25" s="445"/>
      <c r="B25" s="424" t="s">
        <v>348</v>
      </c>
      <c r="C25" s="424"/>
      <c r="D25" s="424"/>
      <c r="E25" s="424"/>
      <c r="F25" s="434">
        <f>F14</f>
        <v>747.57</v>
      </c>
      <c r="G25" s="438"/>
    </row>
    <row r="26" spans="1:7" ht="15.75" thickBot="1" x14ac:dyDescent="0.25">
      <c r="A26" s="446"/>
      <c r="B26" s="436" t="s">
        <v>206</v>
      </c>
      <c r="C26" s="436"/>
      <c r="D26" s="436"/>
      <c r="E26" s="436"/>
      <c r="F26" s="437">
        <f>F24+F25</f>
        <v>3965.15</v>
      </c>
      <c r="G26" s="443"/>
    </row>
    <row r="27" spans="1:7" x14ac:dyDescent="0.2">
      <c r="A27" s="447"/>
      <c r="B27" s="358"/>
      <c r="C27" s="377"/>
      <c r="D27" s="359"/>
      <c r="E27" s="360"/>
      <c r="F27" s="361"/>
    </row>
    <row r="29" spans="1:7" x14ac:dyDescent="0.2">
      <c r="B29" s="416" t="str">
        <f>Terrap.!B20</f>
        <v xml:space="preserve">Vinicius Ferreira Fava </v>
      </c>
    </row>
    <row r="30" spans="1:7" x14ac:dyDescent="0.2">
      <c r="B30" s="416" t="str">
        <f>Terrap.!B21</f>
        <v>ENGº CIVIL</v>
      </c>
    </row>
  </sheetData>
  <mergeCells count="10">
    <mergeCell ref="A9:G9"/>
    <mergeCell ref="B3:D3"/>
    <mergeCell ref="B4:D4"/>
    <mergeCell ref="B10:F10"/>
    <mergeCell ref="A1:G1"/>
    <mergeCell ref="A2:G2"/>
    <mergeCell ref="E3:F3"/>
    <mergeCell ref="E4:G6"/>
    <mergeCell ref="B6:C6"/>
    <mergeCell ref="A7:G8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57"/>
  <sheetViews>
    <sheetView view="pageBreakPreview" topLeftCell="B1" zoomScaleSheetLayoutView="100" workbookViewId="0">
      <selection activeCell="N36" sqref="N36:O36"/>
    </sheetView>
  </sheetViews>
  <sheetFormatPr defaultRowHeight="12.75" x14ac:dyDescent="0.2"/>
  <cols>
    <col min="1" max="1" width="10" style="46" bestFit="1" customWidth="1"/>
    <col min="2" max="2" width="29.42578125" style="4" customWidth="1"/>
    <col min="3" max="3" width="8" style="46" bestFit="1" customWidth="1"/>
    <col min="4" max="4" width="12.140625" style="46" customWidth="1"/>
    <col min="5" max="5" width="8.5703125" style="46" customWidth="1"/>
    <col min="6" max="6" width="8.28515625" style="26" customWidth="1"/>
    <col min="7" max="7" width="14" style="26" customWidth="1"/>
    <col min="8" max="8" width="12" style="26" bestFit="1" customWidth="1"/>
    <col min="9" max="9" width="14.28515625" style="26" bestFit="1" customWidth="1"/>
    <col min="10" max="10" width="9.28515625" style="26" bestFit="1" customWidth="1"/>
    <col min="11" max="11" width="12.28515625" style="26" bestFit="1" customWidth="1"/>
    <col min="12" max="12" width="9.28515625" style="26" bestFit="1" customWidth="1"/>
    <col min="13" max="13" width="11.42578125" style="26" customWidth="1"/>
    <col min="14" max="14" width="9.28515625" style="26" bestFit="1" customWidth="1"/>
    <col min="15" max="15" width="11.7109375" style="26" customWidth="1"/>
    <col min="16" max="16" width="11.85546875" style="55" customWidth="1"/>
    <col min="17" max="18" width="11.85546875" style="46" customWidth="1"/>
    <col min="19" max="27" width="11.85546875" customWidth="1"/>
  </cols>
  <sheetData>
    <row r="1" spans="1:18" x14ac:dyDescent="0.2">
      <c r="A1" s="47" t="s">
        <v>55</v>
      </c>
      <c r="B1" s="47"/>
      <c r="C1" s="47"/>
      <c r="D1" s="47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x14ac:dyDescent="0.2">
      <c r="A2" s="47" t="s">
        <v>253</v>
      </c>
      <c r="B2" s="49"/>
      <c r="C2" s="49"/>
      <c r="D2" s="49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8" x14ac:dyDescent="0.2">
      <c r="A3" s="52" t="s">
        <v>8</v>
      </c>
      <c r="B3" s="52" t="s">
        <v>221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8" x14ac:dyDescent="0.2">
      <c r="A4" s="52" t="s">
        <v>22</v>
      </c>
      <c r="B4" s="52" t="s">
        <v>242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8" x14ac:dyDescent="0.2">
      <c r="A5" s="52" t="s">
        <v>58</v>
      </c>
      <c r="B5" s="52" t="s">
        <v>253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ht="13.5" thickBo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8" x14ac:dyDescent="0.2">
      <c r="A7" s="1550"/>
      <c r="B7" s="1552" t="s">
        <v>20</v>
      </c>
      <c r="C7" s="1554" t="s">
        <v>15</v>
      </c>
      <c r="D7" s="56" t="s">
        <v>254</v>
      </c>
      <c r="E7" s="56"/>
      <c r="F7" s="1558" t="s">
        <v>255</v>
      </c>
      <c r="G7" s="1559"/>
      <c r="H7" s="1559"/>
      <c r="I7" s="1559"/>
      <c r="J7" s="1559"/>
      <c r="K7" s="1559"/>
      <c r="L7" s="1558" t="s">
        <v>255</v>
      </c>
      <c r="M7" s="1559"/>
      <c r="N7" s="1559"/>
      <c r="O7" s="1559"/>
      <c r="P7" s="57"/>
    </row>
    <row r="8" spans="1:18" ht="13.5" thickBot="1" x14ac:dyDescent="0.25">
      <c r="A8" s="1551"/>
      <c r="B8" s="1553"/>
      <c r="C8" s="1555"/>
      <c r="D8" s="58" t="s">
        <v>256</v>
      </c>
      <c r="E8" s="58"/>
      <c r="F8" s="1556">
        <v>30</v>
      </c>
      <c r="G8" s="1556"/>
      <c r="H8" s="1557">
        <f>F8+30</f>
        <v>60</v>
      </c>
      <c r="I8" s="1557"/>
      <c r="J8" s="1557">
        <f>H8+30</f>
        <v>90</v>
      </c>
      <c r="K8" s="1557"/>
      <c r="L8" s="1557">
        <f>J8+30</f>
        <v>120</v>
      </c>
      <c r="M8" s="1557"/>
      <c r="N8" s="1557">
        <f>L8+30</f>
        <v>150</v>
      </c>
      <c r="O8" s="1557"/>
      <c r="P8" s="59" t="s">
        <v>129</v>
      </c>
    </row>
    <row r="9" spans="1:18" x14ac:dyDescent="0.2">
      <c r="A9" s="60"/>
      <c r="B9" s="61"/>
      <c r="C9" s="62"/>
      <c r="D9" s="62"/>
      <c r="E9" s="62"/>
      <c r="F9" s="63" t="s">
        <v>257</v>
      </c>
      <c r="G9" s="63" t="s">
        <v>154</v>
      </c>
      <c r="H9" s="63" t="s">
        <v>257</v>
      </c>
      <c r="I9" s="63" t="s">
        <v>154</v>
      </c>
      <c r="J9" s="63" t="s">
        <v>257</v>
      </c>
      <c r="K9" s="63" t="s">
        <v>154</v>
      </c>
      <c r="L9" s="63" t="s">
        <v>257</v>
      </c>
      <c r="M9" s="63" t="s">
        <v>154</v>
      </c>
      <c r="N9" s="63" t="s">
        <v>257</v>
      </c>
      <c r="O9" s="63" t="s">
        <v>154</v>
      </c>
      <c r="P9" s="64" t="s">
        <v>258</v>
      </c>
    </row>
    <row r="10" spans="1:18" x14ac:dyDescent="0.2">
      <c r="A10" s="1549">
        <f>Resumo!A10</f>
        <v>1</v>
      </c>
      <c r="B10" s="1546" t="str">
        <f>Resumo!B10</f>
        <v>SERVIÇOS PRELIMINARES</v>
      </c>
      <c r="C10" s="1547" t="e">
        <f>(D10/$D$38)*100</f>
        <v>#REF!</v>
      </c>
      <c r="D10" s="1547">
        <f>Resumo!E10</f>
        <v>9369.31</v>
      </c>
      <c r="E10" s="65" t="s">
        <v>15</v>
      </c>
      <c r="F10" s="1537">
        <v>70</v>
      </c>
      <c r="G10" s="1537"/>
      <c r="H10" s="1537">
        <v>30</v>
      </c>
      <c r="I10" s="1537"/>
      <c r="J10" s="1537">
        <v>0</v>
      </c>
      <c r="K10" s="1537"/>
      <c r="L10" s="1537">
        <v>0</v>
      </c>
      <c r="M10" s="1537"/>
      <c r="N10" s="1537">
        <v>0</v>
      </c>
      <c r="O10" s="1537"/>
      <c r="P10" s="66">
        <f t="shared" ref="P10:P35" si="0">SUM(F10:O10)</f>
        <v>100</v>
      </c>
    </row>
    <row r="11" spans="1:18" x14ac:dyDescent="0.2">
      <c r="A11" s="1549"/>
      <c r="B11" s="1546"/>
      <c r="C11" s="1547"/>
      <c r="D11" s="1547"/>
      <c r="E11" s="67" t="s">
        <v>259</v>
      </c>
      <c r="F11" s="68" t="e">
        <f>($D$10*F10/100)*$G$57</f>
        <v>#REF!</v>
      </c>
      <c r="G11" s="68" t="e">
        <f>D10*F10/100*$H$57</f>
        <v>#REF!</v>
      </c>
      <c r="H11" s="68" t="e">
        <f>D10*H10/100*$G$57</f>
        <v>#REF!</v>
      </c>
      <c r="I11" s="68" t="e">
        <f>D10*H10/100*$H$57</f>
        <v>#REF!</v>
      </c>
      <c r="J11" s="68" t="e">
        <f>D10*J10/100*$G$57</f>
        <v>#REF!</v>
      </c>
      <c r="K11" s="68" t="e">
        <f>D10*J10/100*$H$57</f>
        <v>#REF!</v>
      </c>
      <c r="L11" s="68" t="e">
        <f>D10*L10/100*$G$57</f>
        <v>#REF!</v>
      </c>
      <c r="M11" s="68" t="e">
        <f>D10*L10/100*$H$57</f>
        <v>#REF!</v>
      </c>
      <c r="N11" s="68" t="e">
        <f>D10*N10/100*$G$57</f>
        <v>#REF!</v>
      </c>
      <c r="O11" s="68" t="e">
        <f>D10*N10/100*$H$57</f>
        <v>#REF!</v>
      </c>
      <c r="P11" s="66" t="e">
        <f t="shared" si="0"/>
        <v>#REF!</v>
      </c>
      <c r="R11" s="69" t="e">
        <f>D10-P11</f>
        <v>#REF!</v>
      </c>
    </row>
    <row r="12" spans="1:18" x14ac:dyDescent="0.2">
      <c r="A12" s="1549">
        <f>Resumo!A12</f>
        <v>2</v>
      </c>
      <c r="B12" s="1546" t="str">
        <f>Resumo!B12</f>
        <v>ADMINISTRAÇÃO DE CANTEIRO DE OBRA</v>
      </c>
      <c r="C12" s="1547" t="e">
        <f>(D12/$D$38)*100</f>
        <v>#REF!</v>
      </c>
      <c r="D12" s="1547">
        <f>Resumo!E12</f>
        <v>25825.8</v>
      </c>
      <c r="E12" s="65" t="s">
        <v>15</v>
      </c>
      <c r="F12" s="1537">
        <v>20</v>
      </c>
      <c r="G12" s="1537"/>
      <c r="H12" s="1537">
        <v>20</v>
      </c>
      <c r="I12" s="1537"/>
      <c r="J12" s="1537">
        <v>20</v>
      </c>
      <c r="K12" s="1537"/>
      <c r="L12" s="1537">
        <v>20</v>
      </c>
      <c r="M12" s="1537"/>
      <c r="N12" s="1537">
        <v>20</v>
      </c>
      <c r="O12" s="1537"/>
      <c r="P12" s="66">
        <f t="shared" si="0"/>
        <v>100</v>
      </c>
      <c r="R12" s="69"/>
    </row>
    <row r="13" spans="1:18" x14ac:dyDescent="0.2">
      <c r="A13" s="1549"/>
      <c r="B13" s="1546"/>
      <c r="C13" s="1547"/>
      <c r="D13" s="1547"/>
      <c r="E13" s="67" t="s">
        <v>259</v>
      </c>
      <c r="F13" s="68" t="e">
        <f>($D$12*F12/100)*$G$57</f>
        <v>#REF!</v>
      </c>
      <c r="G13" s="68" t="e">
        <f>D12*F12/100*$H$57</f>
        <v>#REF!</v>
      </c>
      <c r="H13" s="68" t="e">
        <f>D12*H12/100*$G$57</f>
        <v>#REF!</v>
      </c>
      <c r="I13" s="68" t="e">
        <f>D12*H12/100*$H$57</f>
        <v>#REF!</v>
      </c>
      <c r="J13" s="68" t="e">
        <f>D12*J12/100*$G$57</f>
        <v>#REF!</v>
      </c>
      <c r="K13" s="68" t="e">
        <f>D12*J12/100*$H$57</f>
        <v>#REF!</v>
      </c>
      <c r="L13" s="68" t="e">
        <f>D12*L12/100*$G$57</f>
        <v>#REF!</v>
      </c>
      <c r="M13" s="68" t="e">
        <f>D12*L12/100*$H$57</f>
        <v>#REF!</v>
      </c>
      <c r="N13" s="68" t="e">
        <f>D12*N12/100*$G$57</f>
        <v>#REF!</v>
      </c>
      <c r="O13" s="68" t="e">
        <f>D12*N12/100*$H$57</f>
        <v>#REF!</v>
      </c>
      <c r="P13" s="66" t="e">
        <f t="shared" si="0"/>
        <v>#REF!</v>
      </c>
      <c r="R13" s="69" t="e">
        <f>D12-P13</f>
        <v>#REF!</v>
      </c>
    </row>
    <row r="14" spans="1:18" x14ac:dyDescent="0.2">
      <c r="A14" s="1549" t="e">
        <f>Resumo!#REF!</f>
        <v>#REF!</v>
      </c>
      <c r="B14" s="1546" t="e">
        <f>Resumo!#REF!</f>
        <v>#REF!</v>
      </c>
      <c r="C14" s="1547" t="e">
        <f>(D14/$D$38)*100</f>
        <v>#REF!</v>
      </c>
      <c r="D14" s="1547"/>
      <c r="E14" s="65"/>
      <c r="F14" s="1537"/>
      <c r="G14" s="1537"/>
      <c r="H14" s="1537"/>
      <c r="I14" s="1537"/>
      <c r="J14" s="1537"/>
      <c r="K14" s="1537"/>
      <c r="L14" s="1537"/>
      <c r="M14" s="1537"/>
      <c r="N14" s="1537"/>
      <c r="O14" s="1537"/>
      <c r="P14" s="66">
        <f t="shared" si="0"/>
        <v>0</v>
      </c>
      <c r="R14" s="69"/>
    </row>
    <row r="15" spans="1:18" x14ac:dyDescent="0.2">
      <c r="A15" s="1549"/>
      <c r="B15" s="1546"/>
      <c r="C15" s="1547"/>
      <c r="D15" s="1547"/>
      <c r="E15" s="67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6">
        <f t="shared" si="0"/>
        <v>0</v>
      </c>
      <c r="R15" s="69"/>
    </row>
    <row r="16" spans="1:18" x14ac:dyDescent="0.2">
      <c r="A16" s="1549" t="e">
        <f>Resumo!#REF!</f>
        <v>#REF!</v>
      </c>
      <c r="B16" s="1546" t="e">
        <f>Resumo!#REF!</f>
        <v>#REF!</v>
      </c>
      <c r="C16" s="1547" t="e">
        <f>(D16/$D$38)*100</f>
        <v>#REF!</v>
      </c>
      <c r="D16" s="1547" t="e">
        <f>Resumo!#REF!</f>
        <v>#REF!</v>
      </c>
      <c r="E16" s="65" t="s">
        <v>15</v>
      </c>
      <c r="F16" s="1537">
        <v>20</v>
      </c>
      <c r="G16" s="1537"/>
      <c r="H16" s="1537">
        <v>20</v>
      </c>
      <c r="I16" s="1537"/>
      <c r="J16" s="1537">
        <v>20</v>
      </c>
      <c r="K16" s="1537"/>
      <c r="L16" s="1537">
        <v>20</v>
      </c>
      <c r="M16" s="1537"/>
      <c r="N16" s="1537">
        <v>20</v>
      </c>
      <c r="O16" s="1537"/>
      <c r="P16" s="66">
        <f t="shared" si="0"/>
        <v>100</v>
      </c>
      <c r="R16" s="69"/>
    </row>
    <row r="17" spans="1:18" x14ac:dyDescent="0.2">
      <c r="A17" s="1549"/>
      <c r="B17" s="1546"/>
      <c r="C17" s="1547"/>
      <c r="D17" s="1547"/>
      <c r="E17" s="67" t="s">
        <v>259</v>
      </c>
      <c r="F17" s="68" t="e">
        <f>($D$16*F16/100)*$G$57</f>
        <v>#REF!</v>
      </c>
      <c r="G17" s="68" t="e">
        <f>D16*F16/100*$H$57</f>
        <v>#REF!</v>
      </c>
      <c r="H17" s="68" t="e">
        <f>D16*H16/100*$G$57</f>
        <v>#REF!</v>
      </c>
      <c r="I17" s="68" t="e">
        <f>D16*H16/100*$H$57</f>
        <v>#REF!</v>
      </c>
      <c r="J17" s="68" t="e">
        <f>D16*J16/100*$G$57</f>
        <v>#REF!</v>
      </c>
      <c r="K17" s="68" t="e">
        <f>D16*J16/100*$H$57</f>
        <v>#REF!</v>
      </c>
      <c r="L17" s="68" t="e">
        <f>D16*L16/100*$G$57</f>
        <v>#REF!</v>
      </c>
      <c r="M17" s="68" t="e">
        <f>D16*L16/100*$H$57</f>
        <v>#REF!</v>
      </c>
      <c r="N17" s="68" t="e">
        <f>D16*N16/100*$G$57</f>
        <v>#REF!</v>
      </c>
      <c r="O17" s="68" t="e">
        <f>D16*N16/100*$H$57</f>
        <v>#REF!</v>
      </c>
      <c r="P17" s="66" t="e">
        <f t="shared" si="0"/>
        <v>#REF!</v>
      </c>
      <c r="R17" s="69" t="e">
        <f>D16-P17</f>
        <v>#REF!</v>
      </c>
    </row>
    <row r="18" spans="1:18" x14ac:dyDescent="0.2">
      <c r="A18" s="1549" t="e">
        <f>Resumo!#REF!</f>
        <v>#REF!</v>
      </c>
      <c r="B18" s="1546" t="e">
        <f>Resumo!#REF!</f>
        <v>#REF!</v>
      </c>
      <c r="C18" s="1547" t="e">
        <f>(D18/$D$38)*100</f>
        <v>#REF!</v>
      </c>
      <c r="D18" s="1547" t="e">
        <f>Resumo!#REF!</f>
        <v>#REF!</v>
      </c>
      <c r="E18" s="65" t="s">
        <v>15</v>
      </c>
      <c r="F18" s="1537">
        <v>20</v>
      </c>
      <c r="G18" s="1537"/>
      <c r="H18" s="1537">
        <v>20</v>
      </c>
      <c r="I18" s="1537"/>
      <c r="J18" s="1537">
        <v>20</v>
      </c>
      <c r="K18" s="1537"/>
      <c r="L18" s="1537">
        <v>20</v>
      </c>
      <c r="M18" s="1537"/>
      <c r="N18" s="1537">
        <v>20</v>
      </c>
      <c r="O18" s="1537"/>
      <c r="P18" s="66">
        <f t="shared" si="0"/>
        <v>100</v>
      </c>
      <c r="R18" s="69"/>
    </row>
    <row r="19" spans="1:18" x14ac:dyDescent="0.2">
      <c r="A19" s="1549"/>
      <c r="B19" s="1546"/>
      <c r="C19" s="1547"/>
      <c r="D19" s="1547"/>
      <c r="E19" s="67" t="s">
        <v>259</v>
      </c>
      <c r="F19" s="68" t="e">
        <f>($D$18*F18/100)*$G$57</f>
        <v>#REF!</v>
      </c>
      <c r="G19" s="68" t="e">
        <f>D18*F18/100*$H$57</f>
        <v>#REF!</v>
      </c>
      <c r="H19" s="68" t="e">
        <f>D18*H18/100*$G$57</f>
        <v>#REF!</v>
      </c>
      <c r="I19" s="68" t="e">
        <f>D18*H18/100*$H$57</f>
        <v>#REF!</v>
      </c>
      <c r="J19" s="68" t="e">
        <f>D18*J18/100*$G$57</f>
        <v>#REF!</v>
      </c>
      <c r="K19" s="68" t="e">
        <f>D18*J18/100*$H$57</f>
        <v>#REF!</v>
      </c>
      <c r="L19" s="68" t="e">
        <f>D18*L18/100*$G$57</f>
        <v>#REF!</v>
      </c>
      <c r="M19" s="68" t="e">
        <f>D18*L18/100*$H$57</f>
        <v>#REF!</v>
      </c>
      <c r="N19" s="68" t="e">
        <f>D18*N18/100*$G$57</f>
        <v>#REF!</v>
      </c>
      <c r="O19" s="68" t="e">
        <f>D18*N18/100*$H$57-0.02</f>
        <v>#REF!</v>
      </c>
      <c r="P19" s="66" t="e">
        <f t="shared" si="0"/>
        <v>#REF!</v>
      </c>
      <c r="R19" s="69" t="e">
        <f>D18-P19</f>
        <v>#REF!</v>
      </c>
    </row>
    <row r="20" spans="1:18" x14ac:dyDescent="0.2">
      <c r="A20" s="1549" t="e">
        <f>Resumo!#REF!</f>
        <v>#REF!</v>
      </c>
      <c r="B20" s="1546" t="e">
        <f>Resumo!#REF!</f>
        <v>#REF!</v>
      </c>
      <c r="C20" s="1547" t="e">
        <f>(D20/$D$38)*100</f>
        <v>#REF!</v>
      </c>
      <c r="D20" s="1547" t="e">
        <f>Resumo!#REF!</f>
        <v>#REF!</v>
      </c>
      <c r="E20" s="65" t="s">
        <v>15</v>
      </c>
      <c r="F20" s="1537">
        <v>20</v>
      </c>
      <c r="G20" s="1537"/>
      <c r="H20" s="1537">
        <v>20</v>
      </c>
      <c r="I20" s="1537"/>
      <c r="J20" s="1537">
        <v>20</v>
      </c>
      <c r="K20" s="1537"/>
      <c r="L20" s="1537">
        <v>20</v>
      </c>
      <c r="M20" s="1537"/>
      <c r="N20" s="1537">
        <v>20</v>
      </c>
      <c r="O20" s="1537"/>
      <c r="P20" s="66">
        <f t="shared" si="0"/>
        <v>100</v>
      </c>
      <c r="R20" s="69"/>
    </row>
    <row r="21" spans="1:18" x14ac:dyDescent="0.2">
      <c r="A21" s="1549"/>
      <c r="B21" s="1546"/>
      <c r="C21" s="1547"/>
      <c r="D21" s="1547"/>
      <c r="E21" s="67" t="s">
        <v>259</v>
      </c>
      <c r="F21" s="68" t="e">
        <f>($D$20*F20/100)*$G$57</f>
        <v>#REF!</v>
      </c>
      <c r="G21" s="68" t="e">
        <f>D20*F20/100*$H$57</f>
        <v>#REF!</v>
      </c>
      <c r="H21" s="68" t="e">
        <f>D20*H20/100*$G$57</f>
        <v>#REF!</v>
      </c>
      <c r="I21" s="68" t="e">
        <f>D20*H20/100*$H$57</f>
        <v>#REF!</v>
      </c>
      <c r="J21" s="68" t="e">
        <f>D20*J20/100*$G$57</f>
        <v>#REF!</v>
      </c>
      <c r="K21" s="68" t="e">
        <f>D20*J20/100*$H$57</f>
        <v>#REF!</v>
      </c>
      <c r="L21" s="68" t="e">
        <f>D20*L20/100*$G$57</f>
        <v>#REF!</v>
      </c>
      <c r="M21" s="68" t="e">
        <f>D20*L20/100*$H$57</f>
        <v>#REF!</v>
      </c>
      <c r="N21" s="68" t="e">
        <f>D20*N20/100*$G$57</f>
        <v>#REF!</v>
      </c>
      <c r="O21" s="68" t="e">
        <f>D20*N20/100*$H$57-0.03</f>
        <v>#REF!</v>
      </c>
      <c r="P21" s="66" t="e">
        <f t="shared" si="0"/>
        <v>#REF!</v>
      </c>
      <c r="R21" s="69" t="e">
        <f>D20-P21</f>
        <v>#REF!</v>
      </c>
    </row>
    <row r="22" spans="1:18" x14ac:dyDescent="0.2">
      <c r="A22" s="1549" t="e">
        <f>Resumo!#REF!</f>
        <v>#REF!</v>
      </c>
      <c r="B22" s="1546" t="e">
        <f>Resumo!#REF!</f>
        <v>#REF!</v>
      </c>
      <c r="C22" s="1547" t="e">
        <f>(D22/$D$38)*100</f>
        <v>#REF!</v>
      </c>
      <c r="D22" s="1547" t="e">
        <f>Resumo!#REF!</f>
        <v>#REF!</v>
      </c>
      <c r="E22" s="65"/>
      <c r="F22" s="1537">
        <v>20</v>
      </c>
      <c r="G22" s="1537"/>
      <c r="H22" s="1537">
        <v>20</v>
      </c>
      <c r="I22" s="1537"/>
      <c r="J22" s="1537">
        <v>20</v>
      </c>
      <c r="K22" s="1537"/>
      <c r="L22" s="1537">
        <v>20</v>
      </c>
      <c r="M22" s="1537"/>
      <c r="N22" s="1537">
        <v>20</v>
      </c>
      <c r="O22" s="1537"/>
      <c r="P22" s="66">
        <f t="shared" si="0"/>
        <v>100</v>
      </c>
      <c r="R22" s="69"/>
    </row>
    <row r="23" spans="1:18" x14ac:dyDescent="0.2">
      <c r="A23" s="1549"/>
      <c r="B23" s="1546"/>
      <c r="C23" s="1547"/>
      <c r="D23" s="1547"/>
      <c r="E23" s="67"/>
      <c r="F23" s="68" t="e">
        <f>($D$22*F22/100)*$G$57</f>
        <v>#REF!</v>
      </c>
      <c r="G23" s="68" t="e">
        <f>D22*F22/100*$H$57</f>
        <v>#REF!</v>
      </c>
      <c r="H23" s="68" t="e">
        <f>D22*H22/100*$G$57</f>
        <v>#REF!</v>
      </c>
      <c r="I23" s="68" t="e">
        <f>D22*H22/100*$H$57</f>
        <v>#REF!</v>
      </c>
      <c r="J23" s="68" t="e">
        <f>D22*J22/100*$G$57</f>
        <v>#REF!</v>
      </c>
      <c r="K23" s="68" t="e">
        <f>D22*J22/100*$H$57</f>
        <v>#REF!</v>
      </c>
      <c r="L23" s="68" t="e">
        <f>D22*L22/100*$G$57</f>
        <v>#REF!</v>
      </c>
      <c r="M23" s="68" t="e">
        <f>D22*L22/100*$H$57</f>
        <v>#REF!</v>
      </c>
      <c r="N23" s="68" t="e">
        <f>D22*N22/100*$G$57</f>
        <v>#REF!</v>
      </c>
      <c r="O23" s="68" t="e">
        <f>D22*N22/100*$H$57-0.02</f>
        <v>#REF!</v>
      </c>
      <c r="P23" s="66" t="e">
        <f t="shared" si="0"/>
        <v>#REF!</v>
      </c>
      <c r="R23" s="69" t="e">
        <f>D22-P23</f>
        <v>#REF!</v>
      </c>
    </row>
    <row r="24" spans="1:18" x14ac:dyDescent="0.2">
      <c r="A24" s="1549" t="e">
        <f>Resumo!#REF!</f>
        <v>#REF!</v>
      </c>
      <c r="B24" s="1546" t="e">
        <f>Resumo!#REF!</f>
        <v>#REF!</v>
      </c>
      <c r="C24" s="1547" t="e">
        <f>(D24/$D$38)*100</f>
        <v>#REF!</v>
      </c>
      <c r="D24" s="1547" t="e">
        <f>Resumo!#REF!</f>
        <v>#REF!</v>
      </c>
      <c r="E24" s="65" t="s">
        <v>15</v>
      </c>
      <c r="F24" s="1537">
        <v>20</v>
      </c>
      <c r="G24" s="1537"/>
      <c r="H24" s="1537">
        <v>20</v>
      </c>
      <c r="I24" s="1537"/>
      <c r="J24" s="1537">
        <v>20</v>
      </c>
      <c r="K24" s="1537"/>
      <c r="L24" s="1537">
        <v>20</v>
      </c>
      <c r="M24" s="1537"/>
      <c r="N24" s="1537">
        <v>20</v>
      </c>
      <c r="O24" s="1537"/>
      <c r="P24" s="66">
        <f t="shared" si="0"/>
        <v>100</v>
      </c>
      <c r="R24" s="69"/>
    </row>
    <row r="25" spans="1:18" x14ac:dyDescent="0.2">
      <c r="A25" s="1549"/>
      <c r="B25" s="1546"/>
      <c r="C25" s="1547"/>
      <c r="D25" s="1547"/>
      <c r="E25" s="67" t="s">
        <v>259</v>
      </c>
      <c r="F25" s="68" t="e">
        <f>($D$24*F24/100)*$G$57</f>
        <v>#REF!</v>
      </c>
      <c r="G25" s="68" t="e">
        <f>D24*F24/100*$H$57</f>
        <v>#REF!</v>
      </c>
      <c r="H25" s="68" t="e">
        <f>D24*H24/100*$G$57</f>
        <v>#REF!</v>
      </c>
      <c r="I25" s="68" t="e">
        <f>D24*H24/100*$H$57</f>
        <v>#REF!</v>
      </c>
      <c r="J25" s="68" t="e">
        <f>D24*J24/100*$G$57</f>
        <v>#REF!</v>
      </c>
      <c r="K25" s="68" t="e">
        <f>D24*J24/100*$H$57</f>
        <v>#REF!</v>
      </c>
      <c r="L25" s="68" t="e">
        <f>D24*L24/100*$G$57</f>
        <v>#REF!</v>
      </c>
      <c r="M25" s="68" t="e">
        <f>D24*L24/100*$H$57</f>
        <v>#REF!</v>
      </c>
      <c r="N25" s="68" t="e">
        <f>D24*N24/100*$G$57</f>
        <v>#REF!</v>
      </c>
      <c r="O25" s="68" t="e">
        <f>D24*N24/100*$H$57+0.01</f>
        <v>#REF!</v>
      </c>
      <c r="P25" s="66" t="e">
        <f t="shared" si="0"/>
        <v>#REF!</v>
      </c>
      <c r="R25" s="69" t="e">
        <f>D24-P25</f>
        <v>#REF!</v>
      </c>
    </row>
    <row r="26" spans="1:18" x14ac:dyDescent="0.2">
      <c r="A26" s="1549">
        <f>Resumo!A14</f>
        <v>3</v>
      </c>
      <c r="B26" s="1546" t="str">
        <f>Resumo!B14</f>
        <v>PAVIMENTAÇÃO EM TSD</v>
      </c>
      <c r="C26" s="1547" t="e">
        <f>(D26/$D$38)*100</f>
        <v>#REF!</v>
      </c>
      <c r="D26" s="1547">
        <f>Resumo!E14</f>
        <v>0</v>
      </c>
      <c r="E26" s="65"/>
      <c r="F26" s="1537"/>
      <c r="G26" s="1537"/>
      <c r="H26" s="1537"/>
      <c r="I26" s="1537"/>
      <c r="J26" s="1537"/>
      <c r="K26" s="1537"/>
      <c r="L26" s="1537"/>
      <c r="M26" s="1537"/>
      <c r="N26" s="1537"/>
      <c r="O26" s="1537"/>
      <c r="P26" s="66">
        <f t="shared" si="0"/>
        <v>0</v>
      </c>
      <c r="R26" s="69"/>
    </row>
    <row r="27" spans="1:18" x14ac:dyDescent="0.2">
      <c r="A27" s="1549"/>
      <c r="B27" s="1546"/>
      <c r="C27" s="1547"/>
      <c r="D27" s="1547"/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6">
        <f t="shared" si="0"/>
        <v>0</v>
      </c>
      <c r="R27" s="69"/>
    </row>
    <row r="28" spans="1:18" x14ac:dyDescent="0.2">
      <c r="A28" s="1549" t="str">
        <f>Resumo!A15</f>
        <v>3.1</v>
      </c>
      <c r="B28" s="1546" t="str">
        <f>Resumo!B15</f>
        <v>TERRAPLENAGEM</v>
      </c>
      <c r="C28" s="1547" t="e">
        <f>(D28/$D$38)*100</f>
        <v>#REF!</v>
      </c>
      <c r="D28" s="1547">
        <f>Resumo!E15</f>
        <v>14314.01</v>
      </c>
      <c r="E28" s="65" t="s">
        <v>15</v>
      </c>
      <c r="F28" s="1537">
        <v>0</v>
      </c>
      <c r="G28" s="1537"/>
      <c r="H28" s="1537">
        <v>25</v>
      </c>
      <c r="I28" s="1537"/>
      <c r="J28" s="1537">
        <v>25</v>
      </c>
      <c r="K28" s="1537"/>
      <c r="L28" s="1537">
        <v>25</v>
      </c>
      <c r="M28" s="1537"/>
      <c r="N28" s="1537">
        <v>25</v>
      </c>
      <c r="O28" s="1537"/>
      <c r="P28" s="66">
        <f t="shared" si="0"/>
        <v>100</v>
      </c>
      <c r="R28" s="69"/>
    </row>
    <row r="29" spans="1:18" x14ac:dyDescent="0.2">
      <c r="A29" s="1549"/>
      <c r="B29" s="1546"/>
      <c r="C29" s="1547"/>
      <c r="D29" s="1547"/>
      <c r="E29" s="67" t="s">
        <v>259</v>
      </c>
      <c r="F29" s="68" t="e">
        <f>($D$28*F28/100)*$G$57</f>
        <v>#REF!</v>
      </c>
      <c r="G29" s="68" t="e">
        <f>D28*F28/100*$H$57</f>
        <v>#REF!</v>
      </c>
      <c r="H29" s="68" t="e">
        <f>D28*H28/100*$G$57</f>
        <v>#REF!</v>
      </c>
      <c r="I29" s="68" t="e">
        <f>D28*H28/100*$H$57</f>
        <v>#REF!</v>
      </c>
      <c r="J29" s="68" t="e">
        <f>D28*J28/100*$G$57</f>
        <v>#REF!</v>
      </c>
      <c r="K29" s="68" t="e">
        <f>D28*J28/100*$H$57</f>
        <v>#REF!</v>
      </c>
      <c r="L29" s="68" t="e">
        <f>D28*L28/100*$G$57</f>
        <v>#REF!</v>
      </c>
      <c r="M29" s="68" t="e">
        <f>D28*L28/100*$H$57</f>
        <v>#REF!</v>
      </c>
      <c r="N29" s="68" t="e">
        <f>D28*N28/100*$G$57</f>
        <v>#REF!</v>
      </c>
      <c r="O29" s="68" t="e">
        <f>D28*N28/100*$H$57-0.01</f>
        <v>#REF!</v>
      </c>
      <c r="P29" s="66" t="e">
        <f t="shared" si="0"/>
        <v>#REF!</v>
      </c>
      <c r="R29" s="69" t="e">
        <f>D28-P29</f>
        <v>#REF!</v>
      </c>
    </row>
    <row r="30" spans="1:18" x14ac:dyDescent="0.2">
      <c r="A30" s="1549" t="str">
        <f>Resumo!A16</f>
        <v>3.2</v>
      </c>
      <c r="B30" s="1546" t="str">
        <f>Resumo!B16</f>
        <v>PAVIMENTAÇÃO</v>
      </c>
      <c r="C30" s="1547" t="e">
        <f>(D30/$D$38)*100</f>
        <v>#REF!</v>
      </c>
      <c r="D30" s="1547">
        <f>Resumo!E16</f>
        <v>292181.25</v>
      </c>
      <c r="E30" s="65"/>
      <c r="F30" s="1537">
        <v>0</v>
      </c>
      <c r="G30" s="1537"/>
      <c r="H30" s="1537">
        <v>25</v>
      </c>
      <c r="I30" s="1537"/>
      <c r="J30" s="1537">
        <v>25</v>
      </c>
      <c r="K30" s="1537"/>
      <c r="L30" s="1537">
        <v>25</v>
      </c>
      <c r="M30" s="1537"/>
      <c r="N30" s="1537">
        <v>25</v>
      </c>
      <c r="O30" s="1537"/>
      <c r="P30" s="66">
        <f t="shared" si="0"/>
        <v>100</v>
      </c>
      <c r="R30" s="69"/>
    </row>
    <row r="31" spans="1:18" x14ac:dyDescent="0.2">
      <c r="A31" s="1549"/>
      <c r="B31" s="1546"/>
      <c r="C31" s="1547"/>
      <c r="D31" s="1547"/>
      <c r="E31" s="67"/>
      <c r="F31" s="68" t="e">
        <f>($D$30*F30/100)*$G$57</f>
        <v>#REF!</v>
      </c>
      <c r="G31" s="68" t="e">
        <f>D30*F30/100*$H$57</f>
        <v>#REF!</v>
      </c>
      <c r="H31" s="68" t="e">
        <f>D30*H30/100*$G$57</f>
        <v>#REF!</v>
      </c>
      <c r="I31" s="68" t="e">
        <f>D30*H30/100*$H$57</f>
        <v>#REF!</v>
      </c>
      <c r="J31" s="68" t="e">
        <f>D30*J30/100*$G$57</f>
        <v>#REF!</v>
      </c>
      <c r="K31" s="68" t="e">
        <f>D30*J30/100*$H$57</f>
        <v>#REF!</v>
      </c>
      <c r="L31" s="68" t="e">
        <f>D30*L30/100*$G$57</f>
        <v>#REF!</v>
      </c>
      <c r="M31" s="68" t="e">
        <f>D30*L30/100*$H$57</f>
        <v>#REF!</v>
      </c>
      <c r="N31" s="68" t="e">
        <f>D30*N30/100*$G$57</f>
        <v>#REF!</v>
      </c>
      <c r="O31" s="68" t="e">
        <f>D30*N30/100*$H$57+0.02</f>
        <v>#REF!</v>
      </c>
      <c r="P31" s="66" t="e">
        <f t="shared" si="0"/>
        <v>#REF!</v>
      </c>
      <c r="R31" s="69" t="e">
        <f>D30-P31</f>
        <v>#REF!</v>
      </c>
    </row>
    <row r="32" spans="1:18" x14ac:dyDescent="0.2">
      <c r="A32" s="1549" t="str">
        <f>Resumo!A17</f>
        <v>3.3</v>
      </c>
      <c r="B32" s="1546" t="str">
        <f>Resumo!B17</f>
        <v>OBRAS COMPLEMENTARES</v>
      </c>
      <c r="C32" s="1547" t="e">
        <f>(D32/$D$38)*100</f>
        <v>#REF!</v>
      </c>
      <c r="D32" s="1547">
        <f>Resumo!E17</f>
        <v>281377.24</v>
      </c>
      <c r="E32" s="65" t="s">
        <v>15</v>
      </c>
      <c r="F32" s="1537">
        <v>0</v>
      </c>
      <c r="G32" s="1537"/>
      <c r="H32" s="1537">
        <v>25</v>
      </c>
      <c r="I32" s="1537"/>
      <c r="J32" s="1537">
        <v>25</v>
      </c>
      <c r="K32" s="1537"/>
      <c r="L32" s="1537">
        <v>25</v>
      </c>
      <c r="M32" s="1537"/>
      <c r="N32" s="1537">
        <v>25</v>
      </c>
      <c r="O32" s="1537"/>
      <c r="P32" s="66">
        <f t="shared" si="0"/>
        <v>100</v>
      </c>
      <c r="R32" s="69"/>
    </row>
    <row r="33" spans="1:18" x14ac:dyDescent="0.2">
      <c r="A33" s="1549"/>
      <c r="B33" s="1546"/>
      <c r="C33" s="1547"/>
      <c r="D33" s="1547"/>
      <c r="E33" s="67" t="s">
        <v>259</v>
      </c>
      <c r="F33" s="68" t="e">
        <f>($D$32*F32/100)*$G$57</f>
        <v>#REF!</v>
      </c>
      <c r="G33" s="68" t="e">
        <f>D32*F32/100*$H$57</f>
        <v>#REF!</v>
      </c>
      <c r="H33" s="68" t="e">
        <f>D32*H32/100*$G$57</f>
        <v>#REF!</v>
      </c>
      <c r="I33" s="68" t="e">
        <f>D32*H32/100*$H$57</f>
        <v>#REF!</v>
      </c>
      <c r="J33" s="68" t="e">
        <f>D32*J32/100*$G$57</f>
        <v>#REF!</v>
      </c>
      <c r="K33" s="68" t="e">
        <f>D32*J32/100*$H$57</f>
        <v>#REF!</v>
      </c>
      <c r="L33" s="68" t="e">
        <f>D32*L32/100*$G$57</f>
        <v>#REF!</v>
      </c>
      <c r="M33" s="68" t="e">
        <f>D32*L32/100*$H$57</f>
        <v>#REF!</v>
      </c>
      <c r="N33" s="68" t="e">
        <f>D32*N32/100*$G$57</f>
        <v>#REF!</v>
      </c>
      <c r="O33" s="68" t="e">
        <f>D32*N32/100*$H$57-0.03</f>
        <v>#REF!</v>
      </c>
      <c r="P33" s="66" t="e">
        <f t="shared" si="0"/>
        <v>#REF!</v>
      </c>
      <c r="R33" s="69" t="e">
        <f>D32-P33</f>
        <v>#REF!</v>
      </c>
    </row>
    <row r="34" spans="1:18" x14ac:dyDescent="0.2">
      <c r="A34" s="1549" t="str">
        <f>Resumo!A23</f>
        <v>3.4</v>
      </c>
      <c r="B34" s="1546" t="str">
        <f>Resumo!B23</f>
        <v>SINALIZAÇÃO VIÁRIA</v>
      </c>
      <c r="C34" s="1547" t="e">
        <f>(D34/$D$38)*100</f>
        <v>#REF!</v>
      </c>
      <c r="D34" s="1547">
        <f>Resumo!E23</f>
        <v>14999.02</v>
      </c>
      <c r="E34" s="65" t="s">
        <v>15</v>
      </c>
      <c r="F34" s="1537">
        <v>0</v>
      </c>
      <c r="G34" s="1537"/>
      <c r="H34" s="1537">
        <v>0</v>
      </c>
      <c r="I34" s="1537"/>
      <c r="J34" s="1537">
        <v>0</v>
      </c>
      <c r="K34" s="1537"/>
      <c r="L34" s="1537">
        <v>0</v>
      </c>
      <c r="M34" s="1537"/>
      <c r="N34" s="1537">
        <v>100</v>
      </c>
      <c r="O34" s="1537"/>
      <c r="P34" s="66">
        <f t="shared" si="0"/>
        <v>100</v>
      </c>
      <c r="R34" s="69"/>
    </row>
    <row r="35" spans="1:18" x14ac:dyDescent="0.2">
      <c r="A35" s="1549"/>
      <c r="B35" s="1546"/>
      <c r="C35" s="1547"/>
      <c r="D35" s="1547"/>
      <c r="E35" s="67" t="s">
        <v>259</v>
      </c>
      <c r="F35" s="68" t="e">
        <f>($D$34*F34/100)*$G$57</f>
        <v>#REF!</v>
      </c>
      <c r="G35" s="68" t="e">
        <f>D34*F34/100*$H$57</f>
        <v>#REF!</v>
      </c>
      <c r="H35" s="68" t="e">
        <f>D34*H34/100*$G$57</f>
        <v>#REF!</v>
      </c>
      <c r="I35" s="68" t="e">
        <f>D34*H34/100*$H$57</f>
        <v>#REF!</v>
      </c>
      <c r="J35" s="68" t="e">
        <f>D34*J34/100*$G$57</f>
        <v>#REF!</v>
      </c>
      <c r="K35" s="68" t="e">
        <f>D34*J34/100*$H$57</f>
        <v>#REF!</v>
      </c>
      <c r="L35" s="68" t="e">
        <f>D34*L34/100*$G$57</f>
        <v>#REF!</v>
      </c>
      <c r="M35" s="68" t="e">
        <f>D34*L34/100*$H$57</f>
        <v>#REF!</v>
      </c>
      <c r="N35" s="68" t="e">
        <f>D34*N34/100*$G$57</f>
        <v>#REF!</v>
      </c>
      <c r="O35" s="68" t="e">
        <f>D34*N34/100*$H$57</f>
        <v>#REF!</v>
      </c>
      <c r="P35" s="66" t="e">
        <f t="shared" si="0"/>
        <v>#REF!</v>
      </c>
      <c r="R35" s="69" t="e">
        <f>D34-P35</f>
        <v>#REF!</v>
      </c>
    </row>
    <row r="36" spans="1:18" x14ac:dyDescent="0.2">
      <c r="A36" s="1545"/>
      <c r="B36" s="1546"/>
      <c r="C36" s="1547"/>
      <c r="D36" s="1547"/>
      <c r="E36" s="65"/>
      <c r="F36" s="1537"/>
      <c r="G36" s="1537"/>
      <c r="H36" s="1537"/>
      <c r="I36" s="1537"/>
      <c r="J36" s="1537"/>
      <c r="K36" s="1537"/>
      <c r="L36" s="1537"/>
      <c r="M36" s="1537"/>
      <c r="N36" s="1537"/>
      <c r="O36" s="1537"/>
      <c r="P36" s="66"/>
    </row>
    <row r="37" spans="1:18" x14ac:dyDescent="0.2">
      <c r="A37" s="1545"/>
      <c r="B37" s="1546"/>
      <c r="C37" s="1547"/>
      <c r="D37" s="1547"/>
      <c r="E37" s="67"/>
      <c r="F37" s="1536"/>
      <c r="G37" s="1536"/>
      <c r="H37" s="1536"/>
      <c r="I37" s="1536"/>
      <c r="J37" s="1536"/>
      <c r="K37" s="1536"/>
      <c r="L37" s="1536"/>
      <c r="M37" s="1536"/>
      <c r="N37" s="1536"/>
      <c r="O37" s="1536"/>
      <c r="P37" s="66"/>
    </row>
    <row r="38" spans="1:18" x14ac:dyDescent="0.2">
      <c r="A38" s="70" t="s">
        <v>260</v>
      </c>
      <c r="B38" s="71"/>
      <c r="C38" s="1548" t="e">
        <f>SUM(C10:C37)</f>
        <v>#REF!</v>
      </c>
      <c r="D38" s="1548" t="e">
        <f>SUM(D10:D37)</f>
        <v>#REF!</v>
      </c>
      <c r="E38" s="72" t="s">
        <v>261</v>
      </c>
      <c r="F38" s="68" t="e">
        <f t="shared" ref="F38:O38" si="1">F35+F33+F31+F29+F27+F25+F23+F21+F19+F17+F15+F13+F11</f>
        <v>#REF!</v>
      </c>
      <c r="G38" s="68" t="e">
        <f t="shared" si="1"/>
        <v>#REF!</v>
      </c>
      <c r="H38" s="68" t="e">
        <f t="shared" si="1"/>
        <v>#REF!</v>
      </c>
      <c r="I38" s="68" t="e">
        <f t="shared" si="1"/>
        <v>#REF!</v>
      </c>
      <c r="J38" s="68" t="e">
        <f t="shared" si="1"/>
        <v>#REF!</v>
      </c>
      <c r="K38" s="68" t="e">
        <f t="shared" si="1"/>
        <v>#REF!</v>
      </c>
      <c r="L38" s="68" t="e">
        <f t="shared" si="1"/>
        <v>#REF!</v>
      </c>
      <c r="M38" s="68" t="e">
        <f t="shared" si="1"/>
        <v>#REF!</v>
      </c>
      <c r="N38" s="68" t="e">
        <f t="shared" si="1"/>
        <v>#REF!</v>
      </c>
      <c r="O38" s="68" t="e">
        <f t="shared" si="1"/>
        <v>#REF!</v>
      </c>
      <c r="P38" s="1540" t="e">
        <f>+P35+P33+P31+P29+P27+P25+P23+P21+P19+P17+P15+P13+P11</f>
        <v>#REF!</v>
      </c>
    </row>
    <row r="39" spans="1:18" x14ac:dyDescent="0.2">
      <c r="A39" s="70" t="s">
        <v>262</v>
      </c>
      <c r="B39" s="71"/>
      <c r="C39" s="1548"/>
      <c r="D39" s="1548"/>
      <c r="E39" s="72" t="s">
        <v>263</v>
      </c>
      <c r="F39" s="68" t="e">
        <f>F38</f>
        <v>#REF!</v>
      </c>
      <c r="G39" s="68" t="e">
        <f>G38</f>
        <v>#REF!</v>
      </c>
      <c r="H39" s="68" t="e">
        <f>H38+F39</f>
        <v>#REF!</v>
      </c>
      <c r="I39" s="68" t="e">
        <f>G39+I38</f>
        <v>#REF!</v>
      </c>
      <c r="J39" s="68" t="e">
        <f>J38+H39</f>
        <v>#REF!</v>
      </c>
      <c r="K39" s="68" t="e">
        <f>I39+K38</f>
        <v>#REF!</v>
      </c>
      <c r="L39" s="68" t="e">
        <f>L38+J39</f>
        <v>#REF!</v>
      </c>
      <c r="M39" s="68" t="e">
        <f>K39+M38</f>
        <v>#REF!</v>
      </c>
      <c r="N39" s="68" t="e">
        <f>N38+L39</f>
        <v>#REF!</v>
      </c>
      <c r="O39" s="68" t="e">
        <f>M39+O38</f>
        <v>#REF!</v>
      </c>
      <c r="P39" s="1541"/>
    </row>
    <row r="40" spans="1:18" x14ac:dyDescent="0.2">
      <c r="A40" s="73"/>
      <c r="B40" s="74"/>
      <c r="C40" s="75"/>
      <c r="D40" s="75"/>
      <c r="E40" s="76"/>
      <c r="F40" s="1542" t="e">
        <f>F38+G38</f>
        <v>#REF!</v>
      </c>
      <c r="G40" s="1543"/>
      <c r="H40" s="1542" t="e">
        <f>H38+I38</f>
        <v>#REF!</v>
      </c>
      <c r="I40" s="1543"/>
      <c r="J40" s="1542" t="e">
        <f>J38+K38</f>
        <v>#REF!</v>
      </c>
      <c r="K40" s="1543"/>
      <c r="L40" s="1542" t="e">
        <f>L38+M38</f>
        <v>#REF!</v>
      </c>
      <c r="M40" s="1543"/>
      <c r="N40" s="1542" t="e">
        <f>N38+O38</f>
        <v>#REF!</v>
      </c>
      <c r="O40" s="1543"/>
      <c r="P40" s="1538" t="e">
        <f>+N40+L40+J40+H40+F40</f>
        <v>#REF!</v>
      </c>
    </row>
    <row r="41" spans="1:18" ht="13.5" thickBot="1" x14ac:dyDescent="0.25">
      <c r="A41" s="77"/>
      <c r="B41" s="78"/>
      <c r="C41" s="79"/>
      <c r="D41" s="80"/>
      <c r="E41" s="81"/>
      <c r="F41" s="1544"/>
      <c r="G41" s="1544"/>
      <c r="H41" s="1544"/>
      <c r="I41" s="1544"/>
      <c r="J41" s="1544"/>
      <c r="K41" s="1544"/>
      <c r="L41" s="1544"/>
      <c r="M41" s="1544"/>
      <c r="N41" s="1544"/>
      <c r="O41" s="1544"/>
      <c r="P41" s="1539"/>
    </row>
    <row r="42" spans="1:18" x14ac:dyDescent="0.2">
      <c r="D42" s="44"/>
    </row>
    <row r="43" spans="1:18" x14ac:dyDescent="0.2">
      <c r="M43" s="82"/>
    </row>
    <row r="44" spans="1:18" ht="14.25" x14ac:dyDescent="0.2">
      <c r="B44" s="9" t="str">
        <f>Resumo!B30</f>
        <v xml:space="preserve">Vinicius Ferreira Fava </v>
      </c>
      <c r="G44" s="87"/>
      <c r="H44" s="87"/>
      <c r="L44" s="83"/>
      <c r="M44" s="83"/>
      <c r="P44" s="84"/>
    </row>
    <row r="45" spans="1:18" ht="15" x14ac:dyDescent="0.25">
      <c r="B45" s="6" t="str">
        <f>Resumo!B31</f>
        <v>ENGº CIVIL</v>
      </c>
      <c r="L45" s="85"/>
      <c r="M45" s="85"/>
    </row>
    <row r="46" spans="1:18" x14ac:dyDescent="0.2">
      <c r="L46" s="54"/>
      <c r="M46" s="54"/>
      <c r="O46" s="86"/>
    </row>
    <row r="47" spans="1:18" x14ac:dyDescent="0.2">
      <c r="G47" s="87"/>
      <c r="H47" s="87"/>
    </row>
    <row r="50" spans="7:10" x14ac:dyDescent="0.2">
      <c r="J50" s="82"/>
    </row>
    <row r="51" spans="7:10" x14ac:dyDescent="0.2">
      <c r="H51" s="87"/>
    </row>
    <row r="56" spans="7:10" x14ac:dyDescent="0.2">
      <c r="G56" s="88" t="e">
        <f>I56-H56</f>
        <v>#REF!</v>
      </c>
      <c r="H56" s="88">
        <v>263157.90000000002</v>
      </c>
      <c r="I56" s="88" t="e">
        <f>D38</f>
        <v>#REF!</v>
      </c>
    </row>
    <row r="57" spans="7:10" x14ac:dyDescent="0.2">
      <c r="G57" s="89" t="e">
        <f>1-H57</f>
        <v>#REF!</v>
      </c>
      <c r="H57" s="89" t="e">
        <f>H56/I56</f>
        <v>#REF!</v>
      </c>
      <c r="I57" s="89" t="e">
        <f>SUM(G57:H57)</f>
        <v>#REF!</v>
      </c>
    </row>
  </sheetData>
  <mergeCells count="150">
    <mergeCell ref="A7:A8"/>
    <mergeCell ref="B7:B8"/>
    <mergeCell ref="C7:C8"/>
    <mergeCell ref="F8:G8"/>
    <mergeCell ref="H8:I8"/>
    <mergeCell ref="J8:K8"/>
    <mergeCell ref="L8:M8"/>
    <mergeCell ref="N8:O8"/>
    <mergeCell ref="F7:K7"/>
    <mergeCell ref="L7:O7"/>
    <mergeCell ref="L12:M12"/>
    <mergeCell ref="N12:O12"/>
    <mergeCell ref="C10:C11"/>
    <mergeCell ref="D10:D11"/>
    <mergeCell ref="F10:G10"/>
    <mergeCell ref="H10:I10"/>
    <mergeCell ref="J10:K10"/>
    <mergeCell ref="A12:A13"/>
    <mergeCell ref="B12:B13"/>
    <mergeCell ref="C12:C13"/>
    <mergeCell ref="D12:D13"/>
    <mergeCell ref="F12:G12"/>
    <mergeCell ref="H12:I12"/>
    <mergeCell ref="J12:K12"/>
    <mergeCell ref="L10:M10"/>
    <mergeCell ref="N10:O10"/>
    <mergeCell ref="A10:A11"/>
    <mergeCell ref="B10:B11"/>
    <mergeCell ref="L14:M14"/>
    <mergeCell ref="N14:O14"/>
    <mergeCell ref="A14:A15"/>
    <mergeCell ref="B14:B15"/>
    <mergeCell ref="C14:C15"/>
    <mergeCell ref="D14:D15"/>
    <mergeCell ref="F14:G14"/>
    <mergeCell ref="H14:I14"/>
    <mergeCell ref="J14:K14"/>
    <mergeCell ref="L16:M16"/>
    <mergeCell ref="N16:O16"/>
    <mergeCell ref="L20:M20"/>
    <mergeCell ref="N20:O20"/>
    <mergeCell ref="A16:A17"/>
    <mergeCell ref="B16:B17"/>
    <mergeCell ref="C16:C17"/>
    <mergeCell ref="D16:D17"/>
    <mergeCell ref="F16:G16"/>
    <mergeCell ref="H16:I16"/>
    <mergeCell ref="J16:K16"/>
    <mergeCell ref="A20:A21"/>
    <mergeCell ref="B20:B21"/>
    <mergeCell ref="C20:C21"/>
    <mergeCell ref="D20:D21"/>
    <mergeCell ref="F20:G20"/>
    <mergeCell ref="H20:I20"/>
    <mergeCell ref="J20:K20"/>
    <mergeCell ref="L18:M18"/>
    <mergeCell ref="N18:O18"/>
    <mergeCell ref="A18:A19"/>
    <mergeCell ref="B18:B19"/>
    <mergeCell ref="C18:C19"/>
    <mergeCell ref="D18:D19"/>
    <mergeCell ref="F18:G18"/>
    <mergeCell ref="H18:I18"/>
    <mergeCell ref="J18:K18"/>
    <mergeCell ref="L22:M22"/>
    <mergeCell ref="N22:O22"/>
    <mergeCell ref="A22:A23"/>
    <mergeCell ref="B22:B23"/>
    <mergeCell ref="L24:M24"/>
    <mergeCell ref="N24:O24"/>
    <mergeCell ref="C22:C23"/>
    <mergeCell ref="D22:D23"/>
    <mergeCell ref="F22:G22"/>
    <mergeCell ref="H22:I22"/>
    <mergeCell ref="J22:K22"/>
    <mergeCell ref="H32:I32"/>
    <mergeCell ref="J32:K32"/>
    <mergeCell ref="L32:M32"/>
    <mergeCell ref="A24:A25"/>
    <mergeCell ref="B24:B25"/>
    <mergeCell ref="C24:C25"/>
    <mergeCell ref="D24:D25"/>
    <mergeCell ref="F24:G24"/>
    <mergeCell ref="H24:I24"/>
    <mergeCell ref="J24:K24"/>
    <mergeCell ref="N28:O28"/>
    <mergeCell ref="A28:A29"/>
    <mergeCell ref="B28:B29"/>
    <mergeCell ref="C28:C29"/>
    <mergeCell ref="D28:D29"/>
    <mergeCell ref="F28:G28"/>
    <mergeCell ref="H28:I28"/>
    <mergeCell ref="J28:K28"/>
    <mergeCell ref="L26:M26"/>
    <mergeCell ref="N26:O26"/>
    <mergeCell ref="A26:A27"/>
    <mergeCell ref="B26:B27"/>
    <mergeCell ref="C26:C27"/>
    <mergeCell ref="D26:D27"/>
    <mergeCell ref="F26:G26"/>
    <mergeCell ref="H26:I26"/>
    <mergeCell ref="J26:K26"/>
    <mergeCell ref="L28:M28"/>
    <mergeCell ref="N32:O32"/>
    <mergeCell ref="A30:A31"/>
    <mergeCell ref="B30:B31"/>
    <mergeCell ref="C30:C31"/>
    <mergeCell ref="A34:A35"/>
    <mergeCell ref="B34:B35"/>
    <mergeCell ref="C34:C35"/>
    <mergeCell ref="D34:D35"/>
    <mergeCell ref="F34:G34"/>
    <mergeCell ref="H34:I34"/>
    <mergeCell ref="D30:D31"/>
    <mergeCell ref="F30:G30"/>
    <mergeCell ref="H30:I30"/>
    <mergeCell ref="J30:K30"/>
    <mergeCell ref="L34:M34"/>
    <mergeCell ref="N34:O34"/>
    <mergeCell ref="L30:M30"/>
    <mergeCell ref="N30:O30"/>
    <mergeCell ref="J34:K34"/>
    <mergeCell ref="A32:A33"/>
    <mergeCell ref="B32:B33"/>
    <mergeCell ref="C32:C33"/>
    <mergeCell ref="D32:D33"/>
    <mergeCell ref="F32:G32"/>
    <mergeCell ref="A36:A37"/>
    <mergeCell ref="B36:B37"/>
    <mergeCell ref="C36:C37"/>
    <mergeCell ref="D36:D37"/>
    <mergeCell ref="F36:G36"/>
    <mergeCell ref="H36:I36"/>
    <mergeCell ref="C38:C39"/>
    <mergeCell ref="D38:D39"/>
    <mergeCell ref="F37:G37"/>
    <mergeCell ref="H37:I37"/>
    <mergeCell ref="J37:K37"/>
    <mergeCell ref="L37:M37"/>
    <mergeCell ref="N37:O37"/>
    <mergeCell ref="L36:M36"/>
    <mergeCell ref="N36:O36"/>
    <mergeCell ref="J36:K36"/>
    <mergeCell ref="P40:P41"/>
    <mergeCell ref="P38:P39"/>
    <mergeCell ref="F40:G41"/>
    <mergeCell ref="H40:I41"/>
    <mergeCell ref="J40:K41"/>
    <mergeCell ref="L40:M41"/>
    <mergeCell ref="N40:O41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  <colBreaks count="2" manualBreakCount="2">
    <brk id="11" max="49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view="pageBreakPreview" topLeftCell="B1" zoomScaleNormal="100" zoomScaleSheetLayoutView="100" workbookViewId="0">
      <selection activeCell="M9" sqref="M9"/>
    </sheetView>
  </sheetViews>
  <sheetFormatPr defaultRowHeight="12.75" x14ac:dyDescent="0.2"/>
  <cols>
    <col min="1" max="1" width="12.140625" style="265" customWidth="1"/>
    <col min="2" max="2" width="51.28515625" style="265" bestFit="1" customWidth="1"/>
    <col min="3" max="3" width="11.140625" style="265" customWidth="1"/>
    <col min="4" max="4" width="12.140625" style="265" bestFit="1" customWidth="1"/>
    <col min="5" max="5" width="11.42578125" style="265" bestFit="1" customWidth="1"/>
    <col min="6" max="6" width="9.140625" style="294"/>
    <col min="7" max="7" width="9.140625" style="265"/>
    <col min="8" max="8" width="14" style="265" customWidth="1"/>
    <col min="9" max="9" width="15.140625" style="265" customWidth="1"/>
    <col min="10" max="10" width="14.5703125" style="265" bestFit="1" customWidth="1"/>
    <col min="11" max="11" width="9.140625" style="265"/>
    <col min="12" max="12" width="12.85546875" style="265" bestFit="1" customWidth="1"/>
    <col min="13" max="13" width="11.7109375" style="265" bestFit="1" customWidth="1"/>
    <col min="14" max="16384" width="9.140625" style="265"/>
  </cols>
  <sheetData>
    <row r="1" spans="1:13" ht="15.75" x14ac:dyDescent="0.2">
      <c r="A1" s="1078" t="s">
        <v>55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3" ht="15.75" x14ac:dyDescent="0.2">
      <c r="A2" s="1081" t="s">
        <v>597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3" s="390" customFormat="1" ht="15" x14ac:dyDescent="0.2">
      <c r="A3" s="379" t="s">
        <v>56</v>
      </c>
      <c r="B3" s="1075" t="s">
        <v>564</v>
      </c>
      <c r="C3" s="1076"/>
      <c r="D3" s="1076"/>
      <c r="E3" s="1076"/>
      <c r="F3" s="1076"/>
      <c r="G3" s="1076"/>
      <c r="H3" s="1077"/>
      <c r="I3" s="1069" t="s">
        <v>662</v>
      </c>
      <c r="J3" s="1070"/>
    </row>
    <row r="4" spans="1:13" s="390" customFormat="1" ht="15" customHeight="1" x14ac:dyDescent="0.2">
      <c r="A4" s="379" t="s">
        <v>57</v>
      </c>
      <c r="B4" s="1089" t="s">
        <v>289</v>
      </c>
      <c r="C4" s="1089"/>
      <c r="D4" s="1089"/>
      <c r="E4" s="1089"/>
      <c r="F4" s="1089"/>
      <c r="G4" s="1089"/>
      <c r="H4" s="1089"/>
      <c r="I4" s="1071"/>
      <c r="J4" s="1072"/>
    </row>
    <row r="5" spans="1:13" s="390" customFormat="1" ht="18.75" customHeight="1" x14ac:dyDescent="0.2">
      <c r="A5" s="379" t="s">
        <v>58</v>
      </c>
      <c r="B5" s="1088" t="str">
        <f>A2</f>
        <v xml:space="preserve">PREFEITURA MUNICIPAL DE BARRA DO BUGRES </v>
      </c>
      <c r="C5" s="1088"/>
      <c r="D5" s="1088"/>
      <c r="E5" s="391" t="s">
        <v>370</v>
      </c>
      <c r="F5" s="1087" t="s">
        <v>718</v>
      </c>
      <c r="G5" s="1087"/>
      <c r="H5" s="1087"/>
      <c r="I5" s="1071"/>
      <c r="J5" s="1072"/>
    </row>
    <row r="6" spans="1:13" s="390" customFormat="1" ht="19.5" customHeight="1" thickBot="1" x14ac:dyDescent="0.25">
      <c r="A6" s="392" t="s">
        <v>394</v>
      </c>
      <c r="B6" s="1084">
        <f>C18</f>
        <v>8721.93</v>
      </c>
      <c r="C6" s="1084"/>
      <c r="D6" s="1084"/>
      <c r="E6" s="393" t="s">
        <v>60</v>
      </c>
      <c r="F6" s="1085">
        <f>BDI!F17</f>
        <v>0.26740000000000003</v>
      </c>
      <c r="G6" s="1086"/>
      <c r="H6" s="393" t="s">
        <v>61</v>
      </c>
      <c r="I6" s="1073"/>
      <c r="J6" s="1074"/>
    </row>
    <row r="7" spans="1:13" ht="21.75" customHeight="1" thickBot="1" x14ac:dyDescent="0.25">
      <c r="A7" s="1094" t="s">
        <v>632</v>
      </c>
      <c r="B7" s="1095"/>
      <c r="C7" s="1095"/>
      <c r="D7" s="1095"/>
      <c r="E7" s="1095"/>
      <c r="F7" s="1095"/>
      <c r="G7" s="1095"/>
      <c r="H7" s="1095"/>
      <c r="I7" s="1095"/>
      <c r="J7" s="1096"/>
    </row>
    <row r="8" spans="1:13" ht="14.25" x14ac:dyDescent="0.2">
      <c r="A8" s="1097" t="s">
        <v>62</v>
      </c>
      <c r="B8" s="1099" t="s">
        <v>63</v>
      </c>
      <c r="C8" s="1099" t="s">
        <v>376</v>
      </c>
      <c r="D8" s="1099" t="s">
        <v>395</v>
      </c>
      <c r="E8" s="1099" t="s">
        <v>396</v>
      </c>
      <c r="F8" s="1099" t="s">
        <v>65</v>
      </c>
      <c r="G8" s="1099"/>
      <c r="H8" s="1099"/>
      <c r="I8" s="1099"/>
      <c r="J8" s="1101" t="s">
        <v>66</v>
      </c>
    </row>
    <row r="9" spans="1:13" ht="28.5" x14ac:dyDescent="0.2">
      <c r="A9" s="1098"/>
      <c r="B9" s="1100"/>
      <c r="C9" s="1100"/>
      <c r="D9" s="1100"/>
      <c r="E9" s="1100"/>
      <c r="F9" s="653" t="s">
        <v>67</v>
      </c>
      <c r="G9" s="653" t="s">
        <v>68</v>
      </c>
      <c r="H9" s="653" t="s">
        <v>69</v>
      </c>
      <c r="I9" s="653" t="s">
        <v>426</v>
      </c>
      <c r="J9" s="1102"/>
    </row>
    <row r="10" spans="1:13" ht="14.25" x14ac:dyDescent="0.2">
      <c r="A10" s="1098" t="s">
        <v>382</v>
      </c>
      <c r="B10" s="1100"/>
      <c r="C10" s="1100"/>
      <c r="D10" s="1100"/>
      <c r="E10" s="1100"/>
      <c r="F10" s="1100"/>
      <c r="G10" s="1100"/>
      <c r="H10" s="1100"/>
      <c r="I10" s="1100"/>
      <c r="J10" s="1102"/>
    </row>
    <row r="11" spans="1:13" ht="18.75" customHeight="1" x14ac:dyDescent="0.2">
      <c r="A11" s="655">
        <f>1</f>
        <v>1</v>
      </c>
      <c r="B11" s="656" t="s">
        <v>603</v>
      </c>
      <c r="C11" s="657">
        <v>337.84</v>
      </c>
      <c r="D11" s="657">
        <v>8.86</v>
      </c>
      <c r="E11" s="658">
        <f>D11*C11</f>
        <v>2993.26</v>
      </c>
      <c r="F11" s="550" t="s">
        <v>342</v>
      </c>
      <c r="G11" s="368">
        <v>6</v>
      </c>
      <c r="H11" s="551">
        <v>22.93</v>
      </c>
      <c r="I11" s="552">
        <f t="shared" ref="I11:I16" si="0">H11*G11</f>
        <v>137.58000000000001</v>
      </c>
      <c r="J11" s="654">
        <f>+I11+E11</f>
        <v>3130.84</v>
      </c>
      <c r="K11" s="292"/>
      <c r="L11" s="909">
        <v>2</v>
      </c>
      <c r="M11" s="292">
        <f>J11*L11</f>
        <v>6261.68</v>
      </c>
    </row>
    <row r="12" spans="1:13" ht="18.75" customHeight="1" x14ac:dyDescent="0.2">
      <c r="A12" s="1105">
        <f>A11+1</f>
        <v>2</v>
      </c>
      <c r="B12" s="1111" t="s">
        <v>604</v>
      </c>
      <c r="C12" s="1063">
        <v>296.27</v>
      </c>
      <c r="D12" s="1063">
        <v>8.86</v>
      </c>
      <c r="E12" s="1066">
        <f>D12*C12</f>
        <v>2624.95</v>
      </c>
      <c r="F12" s="550" t="s">
        <v>342</v>
      </c>
      <c r="G12" s="368">
        <v>2</v>
      </c>
      <c r="H12" s="551">
        <f>H11</f>
        <v>22.93</v>
      </c>
      <c r="I12" s="552">
        <f t="shared" si="0"/>
        <v>45.86</v>
      </c>
      <c r="J12" s="1108">
        <f>+I12+E12+I13+I14</f>
        <v>2826.97</v>
      </c>
      <c r="K12" s="292"/>
      <c r="L12" s="909">
        <v>2</v>
      </c>
      <c r="M12" s="292">
        <f t="shared" ref="M12:M15" si="1">J12*L12</f>
        <v>5653.94</v>
      </c>
    </row>
    <row r="13" spans="1:13" ht="18.75" customHeight="1" x14ac:dyDescent="0.2">
      <c r="A13" s="1106"/>
      <c r="B13" s="1112"/>
      <c r="C13" s="1064"/>
      <c r="D13" s="1064"/>
      <c r="E13" s="1067"/>
      <c r="F13" s="550" t="s">
        <v>633</v>
      </c>
      <c r="G13" s="368">
        <v>1</v>
      </c>
      <c r="H13" s="551">
        <v>35.159999999999997</v>
      </c>
      <c r="I13" s="552">
        <f t="shared" si="0"/>
        <v>35.159999999999997</v>
      </c>
      <c r="J13" s="1109"/>
      <c r="K13" s="292"/>
      <c r="L13" s="909"/>
      <c r="M13" s="292"/>
    </row>
    <row r="14" spans="1:13" ht="18.75" customHeight="1" x14ac:dyDescent="0.2">
      <c r="A14" s="1107"/>
      <c r="B14" s="1113"/>
      <c r="C14" s="1065"/>
      <c r="D14" s="1065"/>
      <c r="E14" s="1068"/>
      <c r="F14" s="550" t="s">
        <v>634</v>
      </c>
      <c r="G14" s="368">
        <v>1</v>
      </c>
      <c r="H14" s="551">
        <v>121</v>
      </c>
      <c r="I14" s="552">
        <f t="shared" si="0"/>
        <v>121</v>
      </c>
      <c r="J14" s="1110"/>
      <c r="K14" s="292"/>
      <c r="L14" s="909"/>
      <c r="M14" s="292"/>
    </row>
    <row r="15" spans="1:13" ht="18.75" customHeight="1" x14ac:dyDescent="0.2">
      <c r="A15" s="655">
        <f>A12+1</f>
        <v>3</v>
      </c>
      <c r="B15" s="656" t="s">
        <v>605</v>
      </c>
      <c r="C15" s="657">
        <v>340</v>
      </c>
      <c r="D15" s="657">
        <v>7.86</v>
      </c>
      <c r="E15" s="658">
        <f>D15*C15</f>
        <v>2672.4</v>
      </c>
      <c r="F15" s="550" t="s">
        <v>342</v>
      </c>
      <c r="G15" s="368">
        <v>4</v>
      </c>
      <c r="H15" s="551">
        <f>H11</f>
        <v>22.93</v>
      </c>
      <c r="I15" s="552">
        <f t="shared" si="0"/>
        <v>91.72</v>
      </c>
      <c r="J15" s="654">
        <f>+I15+E15</f>
        <v>2764.12</v>
      </c>
      <c r="K15" s="292"/>
      <c r="L15" s="909">
        <v>2</v>
      </c>
      <c r="M15" s="292">
        <f t="shared" si="1"/>
        <v>5528.24</v>
      </c>
    </row>
    <row r="16" spans="1:13" ht="18.75" customHeight="1" x14ac:dyDescent="0.2">
      <c r="A16" s="655">
        <f>A15+1</f>
        <v>4</v>
      </c>
      <c r="B16" s="656"/>
      <c r="C16" s="657"/>
      <c r="D16" s="657"/>
      <c r="E16" s="658">
        <f>D16*C16</f>
        <v>0</v>
      </c>
      <c r="F16" s="550"/>
      <c r="G16" s="368"/>
      <c r="H16" s="551"/>
      <c r="I16" s="552">
        <f t="shared" si="0"/>
        <v>0</v>
      </c>
      <c r="J16" s="654">
        <f>+I16+E16</f>
        <v>0</v>
      </c>
      <c r="K16" s="292"/>
      <c r="M16" s="292"/>
    </row>
    <row r="17" spans="1:13" ht="18.75" customHeight="1" x14ac:dyDescent="0.2">
      <c r="A17" s="1103" t="s">
        <v>70</v>
      </c>
      <c r="B17" s="1104"/>
      <c r="C17" s="553">
        <f>SUM(C11:C16)</f>
        <v>974.11</v>
      </c>
      <c r="D17" s="553"/>
      <c r="E17" s="553">
        <f>SUM(E11:E16)</f>
        <v>8290.61</v>
      </c>
      <c r="F17" s="550"/>
      <c r="G17" s="554"/>
      <c r="H17" s="550"/>
      <c r="I17" s="553">
        <f>SUM(I11:I16)</f>
        <v>431.32</v>
      </c>
      <c r="J17" s="555">
        <f>SUM(J11:J16)</f>
        <v>8721.93</v>
      </c>
      <c r="K17" s="292"/>
      <c r="M17" s="292"/>
    </row>
    <row r="18" spans="1:13" ht="18.75" customHeight="1" thickBot="1" x14ac:dyDescent="0.25">
      <c r="A18" s="1090" t="s">
        <v>71</v>
      </c>
      <c r="B18" s="1091"/>
      <c r="C18" s="1092">
        <f>I17+E17</f>
        <v>8721.93</v>
      </c>
      <c r="D18" s="1092"/>
      <c r="E18" s="1092"/>
      <c r="F18" s="1092"/>
      <c r="G18" s="1092"/>
      <c r="H18" s="1092"/>
      <c r="I18" s="1092"/>
      <c r="J18" s="1093"/>
      <c r="K18" s="292"/>
      <c r="M18" s="292"/>
    </row>
    <row r="19" spans="1:13" ht="14.25" x14ac:dyDescent="0.2">
      <c r="A19" s="38"/>
      <c r="B19" s="38"/>
      <c r="C19" s="39"/>
      <c r="D19" s="39"/>
      <c r="E19" s="39"/>
      <c r="F19" s="39"/>
      <c r="G19" s="39"/>
      <c r="H19" s="39"/>
      <c r="I19" s="39"/>
      <c r="J19" s="39"/>
      <c r="K19" s="292"/>
      <c r="M19" s="292"/>
    </row>
    <row r="20" spans="1:13" ht="14.25" x14ac:dyDescent="0.2">
      <c r="B20" s="933" t="s">
        <v>648</v>
      </c>
    </row>
    <row r="21" spans="1:13" x14ac:dyDescent="0.2">
      <c r="B21" s="911" t="s">
        <v>598</v>
      </c>
    </row>
    <row r="22" spans="1:13" x14ac:dyDescent="0.2">
      <c r="B22" s="934" t="s">
        <v>649</v>
      </c>
      <c r="H22" s="757"/>
    </row>
  </sheetData>
  <mergeCells count="27">
    <mergeCell ref="A18:B18"/>
    <mergeCell ref="C18:J18"/>
    <mergeCell ref="A7:J7"/>
    <mergeCell ref="A8:A9"/>
    <mergeCell ref="B8:B9"/>
    <mergeCell ref="C8:C9"/>
    <mergeCell ref="D8:D9"/>
    <mergeCell ref="E8:E9"/>
    <mergeCell ref="F8:I8"/>
    <mergeCell ref="J8:J9"/>
    <mergeCell ref="A17:B17"/>
    <mergeCell ref="A10:J10"/>
    <mergeCell ref="A12:A14"/>
    <mergeCell ref="J12:J14"/>
    <mergeCell ref="B12:B14"/>
    <mergeCell ref="C12:C14"/>
    <mergeCell ref="D12:D14"/>
    <mergeCell ref="E12:E14"/>
    <mergeCell ref="I3:J6"/>
    <mergeCell ref="B3:H3"/>
    <mergeCell ref="A1:J1"/>
    <mergeCell ref="A2:J2"/>
    <mergeCell ref="B6:D6"/>
    <mergeCell ref="F6:G6"/>
    <mergeCell ref="F5:H5"/>
    <mergeCell ref="B5:D5"/>
    <mergeCell ref="B4:H4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68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3"/>
  <sheetViews>
    <sheetView view="pageBreakPreview" topLeftCell="A7" zoomScale="85" zoomScaleSheetLayoutView="85" workbookViewId="0">
      <selection activeCell="M15" sqref="M15"/>
    </sheetView>
  </sheetViews>
  <sheetFormatPr defaultColWidth="11.42578125" defaultRowHeight="12.75" x14ac:dyDescent="0.2"/>
  <cols>
    <col min="1" max="1" width="12.85546875" style="270" customWidth="1"/>
    <col min="2" max="2" width="14.28515625" style="270" customWidth="1"/>
    <col min="3" max="3" width="8.7109375" style="270" customWidth="1"/>
    <col min="4" max="4" width="17.85546875" style="270" customWidth="1"/>
    <col min="5" max="5" width="16.7109375" style="465" customWidth="1"/>
    <col min="6" max="6" width="18.140625" style="270" customWidth="1"/>
    <col min="7" max="7" width="1.42578125" style="270" customWidth="1"/>
    <col min="8" max="8" width="16.42578125" style="270" customWidth="1"/>
    <col min="9" max="9" width="15" style="270" customWidth="1"/>
    <col min="10" max="11" width="11.5703125" style="270" customWidth="1"/>
    <col min="12" max="12" width="3.7109375" style="270" customWidth="1"/>
    <col min="13" max="13" width="15.7109375" style="270" customWidth="1"/>
    <col min="14" max="15" width="3.7109375" style="270" customWidth="1"/>
    <col min="16" max="16" width="8" style="270" bestFit="1" customWidth="1"/>
    <col min="17" max="19" width="3.7109375" style="270" customWidth="1"/>
    <col min="20" max="16384" width="11.42578125" style="270"/>
  </cols>
  <sheetData>
    <row r="1" spans="1:13" ht="48" customHeight="1" x14ac:dyDescent="0.2">
      <c r="A1" s="1134" t="e">
        <f>Terrap.!#REF!</f>
        <v>#REF!</v>
      </c>
      <c r="B1" s="1135"/>
      <c r="C1" s="1135"/>
      <c r="D1" s="1135"/>
      <c r="E1" s="1011" t="str">
        <f>Terrap.!A1</f>
        <v>ESTADO DE MATO GROSSO</v>
      </c>
      <c r="F1" s="1011"/>
      <c r="G1" s="1011"/>
      <c r="H1" s="1011"/>
      <c r="I1" s="1012"/>
    </row>
    <row r="2" spans="1:13" ht="48" customHeight="1" x14ac:dyDescent="0.2">
      <c r="A2" s="1136"/>
      <c r="B2" s="1137"/>
      <c r="C2" s="1137"/>
      <c r="D2" s="1137"/>
      <c r="E2" s="1138" t="str">
        <f>Terrap.!A2</f>
        <v xml:space="preserve">PREFEITURA MUNICIPAL DE BARRA DO BUGRES </v>
      </c>
      <c r="F2" s="1138"/>
      <c r="G2" s="1138"/>
      <c r="H2" s="1138"/>
      <c r="I2" s="1139"/>
    </row>
    <row r="3" spans="1:13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7"/>
    </row>
    <row r="4" spans="1:13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140" t="s">
        <v>60</v>
      </c>
      <c r="H4" s="1140"/>
      <c r="I4" s="395">
        <f>Terrap.!F6</f>
        <v>0.26740000000000003</v>
      </c>
    </row>
    <row r="5" spans="1:13" ht="19.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461" t="s">
        <v>370</v>
      </c>
      <c r="F5" s="396" t="str">
        <f>Terrap.!F5</f>
        <v>maio 2020</v>
      </c>
      <c r="G5" s="1020" t="str">
        <f>Terrap.!I3</f>
        <v>SINAPI - MARÇO / 2020                                                                                                                               ANP - NOV/2019 (desonerado) SICRO OUT/2019</v>
      </c>
      <c r="H5" s="1020"/>
      <c r="I5" s="1021"/>
    </row>
    <row r="6" spans="1:13" ht="24" customHeight="1" thickBot="1" x14ac:dyDescent="0.25">
      <c r="A6" s="386" t="s">
        <v>59</v>
      </c>
      <c r="B6" s="1019">
        <f>Terrap.!B6</f>
        <v>8721.93</v>
      </c>
      <c r="C6" s="1019"/>
      <c r="D6" s="1019"/>
      <c r="E6" s="1019"/>
      <c r="F6" s="387" t="s">
        <v>61</v>
      </c>
      <c r="G6" s="1022"/>
      <c r="H6" s="1022"/>
      <c r="I6" s="1023"/>
    </row>
    <row r="7" spans="1:13" ht="20.25" customHeight="1" thickBot="1" x14ac:dyDescent="0.25">
      <c r="A7" s="1151" t="s">
        <v>308</v>
      </c>
      <c r="B7" s="1152"/>
      <c r="C7" s="1152"/>
      <c r="D7" s="1152"/>
      <c r="E7" s="1152"/>
      <c r="F7" s="1152"/>
      <c r="G7" s="1152"/>
      <c r="H7" s="1152"/>
      <c r="I7" s="1153"/>
    </row>
    <row r="8" spans="1:13" ht="15.75" customHeight="1" x14ac:dyDescent="0.2">
      <c r="A8" s="1158"/>
      <c r="B8" s="1159"/>
      <c r="C8" s="1159"/>
      <c r="D8" s="1160"/>
      <c r="E8" s="1154" t="s">
        <v>309</v>
      </c>
      <c r="F8" s="1154"/>
      <c r="G8" s="779"/>
      <c r="H8" s="1154" t="s">
        <v>310</v>
      </c>
      <c r="I8" s="1155"/>
    </row>
    <row r="9" spans="1:13" ht="44.25" customHeight="1" x14ac:dyDescent="0.2">
      <c r="A9" s="1156" t="s">
        <v>311</v>
      </c>
      <c r="B9" s="1157"/>
      <c r="C9" s="1157"/>
      <c r="D9" s="1157"/>
      <c r="E9" s="780" t="s">
        <v>372</v>
      </c>
      <c r="F9" s="781" t="s">
        <v>371</v>
      </c>
      <c r="G9" s="782"/>
      <c r="H9" s="782" t="s">
        <v>313</v>
      </c>
      <c r="I9" s="783" t="s">
        <v>312</v>
      </c>
    </row>
    <row r="10" spans="1:13" ht="15" x14ac:dyDescent="0.2">
      <c r="A10" s="1122" t="s">
        <v>382</v>
      </c>
      <c r="B10" s="1123"/>
      <c r="C10" s="1123"/>
      <c r="D10" s="1123"/>
      <c r="E10" s="1123"/>
      <c r="F10" s="1123"/>
      <c r="G10" s="1123"/>
      <c r="H10" s="1123"/>
      <c r="I10" s="1124"/>
    </row>
    <row r="11" spans="1:13" ht="15" customHeight="1" x14ac:dyDescent="0.2">
      <c r="A11" s="1127" t="str">
        <f>Terrap.!B11</f>
        <v>RUA DOM PEDRO II</v>
      </c>
      <c r="B11" s="1126"/>
      <c r="C11" s="1126"/>
      <c r="D11" s="1126"/>
      <c r="E11" s="462">
        <f>'BASE E SUB'!L11</f>
        <v>1095.8</v>
      </c>
      <c r="F11" s="271">
        <v>0</v>
      </c>
      <c r="G11" s="271"/>
      <c r="H11" s="271">
        <f>E11</f>
        <v>1095.8</v>
      </c>
      <c r="I11" s="530">
        <f>F11</f>
        <v>0</v>
      </c>
      <c r="J11" s="272"/>
      <c r="M11" s="991"/>
    </row>
    <row r="12" spans="1:13" ht="15" customHeight="1" x14ac:dyDescent="0.2">
      <c r="A12" s="1127"/>
      <c r="B12" s="1126"/>
      <c r="C12" s="1126"/>
      <c r="D12" s="1126"/>
      <c r="E12" s="462"/>
      <c r="F12" s="271"/>
      <c r="G12" s="271"/>
      <c r="H12" s="273"/>
      <c r="I12" s="531"/>
      <c r="M12" s="991"/>
    </row>
    <row r="13" spans="1:13" ht="15" customHeight="1" x14ac:dyDescent="0.2">
      <c r="A13" s="1127" t="str">
        <f>Terrap.!B12</f>
        <v>RUA DOM ARTUR</v>
      </c>
      <c r="B13" s="1126"/>
      <c r="C13" s="1126"/>
      <c r="D13" s="1126"/>
      <c r="E13" s="462">
        <f>'BASE E SUB'!L12</f>
        <v>989.44</v>
      </c>
      <c r="F13" s="271">
        <v>0</v>
      </c>
      <c r="G13" s="271"/>
      <c r="H13" s="271">
        <f>E13+H11</f>
        <v>2085.2399999999998</v>
      </c>
      <c r="I13" s="530">
        <f>F13+I11</f>
        <v>0</v>
      </c>
      <c r="J13" s="272"/>
      <c r="M13" s="991"/>
    </row>
    <row r="14" spans="1:13" ht="15" customHeight="1" x14ac:dyDescent="0.2">
      <c r="A14" s="1127"/>
      <c r="B14" s="1126"/>
      <c r="C14" s="1126"/>
      <c r="D14" s="1126"/>
      <c r="E14" s="462"/>
      <c r="F14" s="271"/>
      <c r="G14" s="271"/>
      <c r="H14" s="271"/>
      <c r="I14" s="530"/>
      <c r="J14" s="272"/>
      <c r="M14" s="991"/>
    </row>
    <row r="15" spans="1:13" ht="15" customHeight="1" x14ac:dyDescent="0.2">
      <c r="A15" s="1125" t="str">
        <f>Terrap.!B15</f>
        <v>RUA TAPAJOS</v>
      </c>
      <c r="B15" s="1126"/>
      <c r="C15" s="1126"/>
      <c r="D15" s="1126"/>
      <c r="E15" s="462">
        <f>'BASE E SUB'!L13</f>
        <v>967.44</v>
      </c>
      <c r="F15" s="271">
        <v>0</v>
      </c>
      <c r="G15" s="271"/>
      <c r="H15" s="271">
        <f>E15+H13</f>
        <v>3052.68</v>
      </c>
      <c r="I15" s="530">
        <f>F15+I13</f>
        <v>0</v>
      </c>
      <c r="J15" s="272"/>
      <c r="M15" s="991"/>
    </row>
    <row r="16" spans="1:13" ht="15" customHeight="1" x14ac:dyDescent="0.2">
      <c r="A16" s="1127"/>
      <c r="B16" s="1126"/>
      <c r="C16" s="1126"/>
      <c r="D16" s="1126"/>
      <c r="E16" s="463"/>
      <c r="F16" s="777"/>
      <c r="G16" s="777"/>
      <c r="H16" s="777"/>
      <c r="I16" s="532"/>
      <c r="M16" s="991"/>
    </row>
    <row r="17" spans="1:13" ht="15" customHeight="1" x14ac:dyDescent="0.2">
      <c r="A17" s="1125">
        <f>Terrap.!B16</f>
        <v>0</v>
      </c>
      <c r="B17" s="1126"/>
      <c r="C17" s="1126"/>
      <c r="D17" s="1126"/>
      <c r="E17" s="462"/>
      <c r="F17" s="271">
        <v>0</v>
      </c>
      <c r="G17" s="271"/>
      <c r="H17" s="271"/>
      <c r="I17" s="530">
        <f>F17+I16</f>
        <v>0</v>
      </c>
      <c r="J17" s="272"/>
    </row>
    <row r="18" spans="1:13" ht="15" customHeight="1" x14ac:dyDescent="0.2">
      <c r="A18" s="1127"/>
      <c r="B18" s="1126"/>
      <c r="C18" s="1126"/>
      <c r="D18" s="1126"/>
      <c r="E18" s="463"/>
      <c r="F18" s="777"/>
      <c r="G18" s="777"/>
      <c r="H18" s="777"/>
      <c r="I18" s="532"/>
    </row>
    <row r="19" spans="1:13" ht="15" customHeight="1" x14ac:dyDescent="0.2">
      <c r="A19" s="1127"/>
      <c r="B19" s="1126"/>
      <c r="C19" s="1126"/>
      <c r="D19" s="1126"/>
      <c r="E19" s="463"/>
      <c r="F19" s="777"/>
      <c r="G19" s="777"/>
      <c r="H19" s="777"/>
      <c r="I19" s="532"/>
    </row>
    <row r="20" spans="1:13" ht="15" customHeight="1" x14ac:dyDescent="0.2">
      <c r="A20" s="1144" t="s">
        <v>375</v>
      </c>
      <c r="B20" s="1145" t="s">
        <v>523</v>
      </c>
      <c r="C20" s="1146"/>
      <c r="D20" s="784" t="s">
        <v>524</v>
      </c>
      <c r="E20" s="1150"/>
      <c r="F20" s="1130">
        <v>0</v>
      </c>
      <c r="G20" s="271"/>
      <c r="H20" s="1130">
        <f>E20</f>
        <v>0</v>
      </c>
      <c r="I20" s="1131">
        <f>F20</f>
        <v>0</v>
      </c>
      <c r="J20" s="272"/>
    </row>
    <row r="21" spans="1:13" ht="15" customHeight="1" x14ac:dyDescent="0.2">
      <c r="A21" s="1144"/>
      <c r="B21" s="1147">
        <f>Terrap.!I17</f>
        <v>431.32</v>
      </c>
      <c r="C21" s="1146"/>
      <c r="D21" s="785">
        <f>'BASE E SUB'!D11+'BASE E SUB'!E11</f>
        <v>0.35</v>
      </c>
      <c r="E21" s="1150"/>
      <c r="F21" s="1130"/>
      <c r="G21" s="777"/>
      <c r="H21" s="1130"/>
      <c r="I21" s="1131"/>
    </row>
    <row r="22" spans="1:13" ht="15" customHeight="1" x14ac:dyDescent="0.2">
      <c r="A22" s="1127"/>
      <c r="B22" s="1126"/>
      <c r="C22" s="1126"/>
      <c r="D22" s="1126"/>
      <c r="E22" s="463"/>
      <c r="F22" s="786"/>
      <c r="G22" s="777"/>
      <c r="H22" s="786"/>
      <c r="I22" s="532"/>
    </row>
    <row r="23" spans="1:13" ht="15" customHeight="1" x14ac:dyDescent="0.2">
      <c r="A23" s="1148" t="s">
        <v>314</v>
      </c>
      <c r="B23" s="1149"/>
      <c r="C23" s="1149"/>
      <c r="D23" s="1149"/>
      <c r="E23" s="464"/>
      <c r="F23" s="274"/>
      <c r="G23" s="274"/>
      <c r="H23" s="274">
        <f>H15+H20</f>
        <v>3052.68</v>
      </c>
      <c r="I23" s="533">
        <f>I20</f>
        <v>0</v>
      </c>
    </row>
    <row r="24" spans="1:13" ht="15" customHeight="1" x14ac:dyDescent="0.2">
      <c r="A24" s="1127"/>
      <c r="B24" s="1126"/>
      <c r="C24" s="1126"/>
      <c r="D24" s="1126"/>
      <c r="E24" s="463"/>
      <c r="F24" s="777"/>
      <c r="G24" s="777"/>
      <c r="H24" s="777"/>
      <c r="I24" s="532"/>
    </row>
    <row r="25" spans="1:13" ht="13.5" thickBot="1" x14ac:dyDescent="0.25">
      <c r="A25" s="1141"/>
      <c r="B25" s="1142"/>
      <c r="C25" s="1142"/>
      <c r="D25" s="1143"/>
      <c r="E25" s="788"/>
      <c r="F25" s="787"/>
      <c r="G25" s="787"/>
      <c r="H25" s="787"/>
      <c r="I25" s="789"/>
    </row>
    <row r="26" spans="1:13" ht="13.5" thickBot="1" x14ac:dyDescent="0.25">
      <c r="A26" s="275" t="s">
        <v>315</v>
      </c>
      <c r="B26" s="276"/>
      <c r="C26" s="276"/>
      <c r="D26" s="276"/>
      <c r="E26" s="466"/>
      <c r="F26" s="276"/>
      <c r="G26" s="276"/>
      <c r="H26" s="276"/>
      <c r="I26" s="535"/>
    </row>
    <row r="27" spans="1:13" x14ac:dyDescent="0.2">
      <c r="A27" s="277"/>
      <c r="B27" s="278"/>
      <c r="C27" s="278"/>
      <c r="D27" s="278"/>
      <c r="E27" s="467"/>
      <c r="F27" s="278"/>
      <c r="G27" s="278"/>
      <c r="H27" s="279"/>
      <c r="I27" s="536"/>
    </row>
    <row r="28" spans="1:13" x14ac:dyDescent="0.2">
      <c r="A28" s="280"/>
      <c r="B28" s="281"/>
      <c r="C28" s="282"/>
      <c r="D28" s="281"/>
      <c r="E28" s="468"/>
      <c r="F28" s="1128" t="s">
        <v>316</v>
      </c>
      <c r="G28" s="1129"/>
      <c r="H28" s="852">
        <f>H23</f>
        <v>3052.68</v>
      </c>
      <c r="I28" s="537"/>
      <c r="J28" s="756">
        <f>'BASE E SUB'!L16</f>
        <v>3052.68</v>
      </c>
    </row>
    <row r="29" spans="1:13" x14ac:dyDescent="0.2">
      <c r="A29" s="280"/>
      <c r="B29" s="281"/>
      <c r="C29" s="282"/>
      <c r="D29" s="281"/>
      <c r="E29" s="468"/>
      <c r="F29" s="1128" t="s">
        <v>317</v>
      </c>
      <c r="G29" s="1129"/>
      <c r="H29" s="264">
        <f>I23</f>
        <v>0</v>
      </c>
      <c r="I29" s="534"/>
    </row>
    <row r="30" spans="1:13" x14ac:dyDescent="0.2">
      <c r="A30" s="280"/>
      <c r="B30" s="281"/>
      <c r="C30" s="282"/>
      <c r="D30" s="281"/>
      <c r="E30" s="468"/>
      <c r="F30" s="1132" t="s">
        <v>315</v>
      </c>
      <c r="G30" s="1133"/>
      <c r="H30" s="264">
        <f>H28-H29</f>
        <v>3052.68</v>
      </c>
      <c r="I30" s="538"/>
    </row>
    <row r="31" spans="1:13" x14ac:dyDescent="0.2">
      <c r="A31" s="280"/>
      <c r="B31" s="281"/>
      <c r="C31" s="282"/>
      <c r="D31" s="281"/>
      <c r="E31" s="468"/>
      <c r="F31" s="281"/>
      <c r="G31" s="283"/>
      <c r="H31" s="284"/>
      <c r="I31" s="538"/>
    </row>
    <row r="32" spans="1:13" s="286" customFormat="1" ht="19.5" customHeight="1" thickBot="1" x14ac:dyDescent="0.25">
      <c r="A32" s="1120" t="s">
        <v>318</v>
      </c>
      <c r="B32" s="1121"/>
      <c r="C32" s="1121"/>
      <c r="D32" s="1121"/>
      <c r="E32" s="1121"/>
      <c r="F32" s="1121"/>
      <c r="G32" s="1121"/>
      <c r="H32" s="1121"/>
      <c r="I32" s="752">
        <f>H30</f>
        <v>3052.68</v>
      </c>
      <c r="J32" s="285"/>
      <c r="K32" s="270"/>
      <c r="L32" s="270"/>
      <c r="M32" s="270"/>
    </row>
    <row r="33" spans="1:9" ht="21" customHeight="1" x14ac:dyDescent="0.2">
      <c r="A33" s="1114" t="s">
        <v>513</v>
      </c>
      <c r="B33" s="1115"/>
      <c r="C33" s="1115"/>
      <c r="D33" s="1115"/>
      <c r="E33" s="1115"/>
      <c r="F33" s="1115"/>
      <c r="G33" s="1115"/>
      <c r="H33" s="1115"/>
      <c r="I33" s="753">
        <v>2</v>
      </c>
    </row>
    <row r="34" spans="1:9" ht="21" customHeight="1" x14ac:dyDescent="0.2">
      <c r="A34" s="1116" t="s">
        <v>512</v>
      </c>
      <c r="B34" s="1117"/>
      <c r="C34" s="1117"/>
      <c r="D34" s="1117"/>
      <c r="E34" s="1117"/>
      <c r="F34" s="1117"/>
      <c r="G34" s="1117"/>
      <c r="H34" s="1117"/>
      <c r="I34" s="754">
        <v>1.1499999999999999</v>
      </c>
    </row>
    <row r="35" spans="1:9" ht="21" customHeight="1" thickBot="1" x14ac:dyDescent="0.25">
      <c r="A35" s="1118" t="s">
        <v>626</v>
      </c>
      <c r="B35" s="1119"/>
      <c r="C35" s="1119"/>
      <c r="D35" s="1119"/>
      <c r="E35" s="1119"/>
      <c r="F35" s="1119"/>
      <c r="G35" s="1119"/>
      <c r="H35" s="1119"/>
      <c r="I35" s="755">
        <f>TRUNC(I32*I33*I34,3)</f>
        <v>7021.1639999999998</v>
      </c>
    </row>
    <row r="36" spans="1:9" x14ac:dyDescent="0.2">
      <c r="I36" s="287"/>
    </row>
    <row r="37" spans="1:9" x14ac:dyDescent="0.2">
      <c r="I37" s="288"/>
    </row>
    <row r="40" spans="1:9" x14ac:dyDescent="0.2">
      <c r="E40" s="469"/>
    </row>
    <row r="41" spans="1:9" x14ac:dyDescent="0.2">
      <c r="E41" s="470" t="str">
        <f>Terrap.!B20</f>
        <v xml:space="preserve">Vinicius Ferreira Fava </v>
      </c>
    </row>
    <row r="42" spans="1:9" x14ac:dyDescent="0.2">
      <c r="E42" s="469" t="str">
        <f>Terrap.!B21</f>
        <v>ENGº CIVIL</v>
      </c>
    </row>
    <row r="43" spans="1:9" x14ac:dyDescent="0.2">
      <c r="E43" s="469" t="str">
        <f>Terrap.!B22</f>
        <v>Crea: 121.286.161-2</v>
      </c>
    </row>
  </sheetData>
  <mergeCells count="42">
    <mergeCell ref="E20:E21"/>
    <mergeCell ref="A7:I7"/>
    <mergeCell ref="E8:F8"/>
    <mergeCell ref="H8:I8"/>
    <mergeCell ref="A9:D9"/>
    <mergeCell ref="A11:D11"/>
    <mergeCell ref="A14:D14"/>
    <mergeCell ref="A12:D12"/>
    <mergeCell ref="A8:D8"/>
    <mergeCell ref="A13:D13"/>
    <mergeCell ref="A19:D19"/>
    <mergeCell ref="A22:D22"/>
    <mergeCell ref="A25:D25"/>
    <mergeCell ref="A20:A21"/>
    <mergeCell ref="B20:C20"/>
    <mergeCell ref="B21:C21"/>
    <mergeCell ref="A23:D23"/>
    <mergeCell ref="A1:D2"/>
    <mergeCell ref="E1:I1"/>
    <mergeCell ref="E2:I2"/>
    <mergeCell ref="B6:E6"/>
    <mergeCell ref="B4:F4"/>
    <mergeCell ref="B5:D5"/>
    <mergeCell ref="B3:I3"/>
    <mergeCell ref="G5:I6"/>
    <mergeCell ref="G4:H4"/>
    <mergeCell ref="A33:H33"/>
    <mergeCell ref="A34:H34"/>
    <mergeCell ref="A35:H35"/>
    <mergeCell ref="A32:H32"/>
    <mergeCell ref="A10:I10"/>
    <mergeCell ref="A15:D15"/>
    <mergeCell ref="A16:D16"/>
    <mergeCell ref="A17:D17"/>
    <mergeCell ref="A18:D18"/>
    <mergeCell ref="F29:G29"/>
    <mergeCell ref="H20:H21"/>
    <mergeCell ref="I20:I21"/>
    <mergeCell ref="F30:G30"/>
    <mergeCell ref="A24:D24"/>
    <mergeCell ref="F28:G28"/>
    <mergeCell ref="F20:F21"/>
  </mergeCells>
  <pageMargins left="0.51181102362204722" right="0.31496062992125984" top="0.78740157480314965" bottom="0.3937007874015748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3"/>
  <sheetViews>
    <sheetView view="pageBreakPreview" topLeftCell="B7" zoomScale="130" zoomScaleSheetLayoutView="130" workbookViewId="0">
      <selection activeCell="C11" sqref="C11"/>
    </sheetView>
  </sheetViews>
  <sheetFormatPr defaultRowHeight="12.75" x14ac:dyDescent="0.2"/>
  <cols>
    <col min="1" max="1" width="12" style="266" customWidth="1"/>
    <col min="2" max="2" width="31.28515625" style="266" customWidth="1"/>
    <col min="3" max="3" width="12.28515625" style="266" customWidth="1"/>
    <col min="4" max="4" width="10.140625" style="266" customWidth="1"/>
    <col min="5" max="5" width="10.85546875" style="266" customWidth="1"/>
    <col min="6" max="7" width="12" style="266" hidden="1" customWidth="1"/>
    <col min="8" max="8" width="10.85546875" style="266" hidden="1" customWidth="1"/>
    <col min="9" max="9" width="11" style="266" hidden="1" customWidth="1"/>
    <col min="10" max="10" width="11.5703125" style="266" customWidth="1"/>
    <col min="11" max="11" width="9.28515625" style="266" customWidth="1"/>
    <col min="12" max="12" width="9.85546875" style="266" customWidth="1"/>
    <col min="13" max="13" width="9.5703125" style="266" customWidth="1"/>
    <col min="14" max="14" width="9.28515625" style="266" customWidth="1"/>
    <col min="15" max="15" width="9.7109375" style="266" customWidth="1"/>
    <col min="16" max="16" width="8.85546875" style="266" customWidth="1"/>
    <col min="17" max="16384" width="9.140625" style="265"/>
  </cols>
  <sheetData>
    <row r="1" spans="1:16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80"/>
    </row>
    <row r="2" spans="1:16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3"/>
    </row>
    <row r="3" spans="1:16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7"/>
    </row>
    <row r="4" spans="1:16" ht="15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016"/>
      <c r="J4" s="1016"/>
      <c r="K4" s="1016"/>
      <c r="L4" s="1020" t="str">
        <f>Terrap.!I3</f>
        <v>SINAPI - MARÇO / 2020                                                                                                                               ANP - NOV/2019 (desonerado) SICRO OUT/2019</v>
      </c>
      <c r="M4" s="1020"/>
      <c r="N4" s="1020"/>
      <c r="O4" s="1020"/>
      <c r="P4" s="1021"/>
    </row>
    <row r="5" spans="1:16" ht="15.75" customHeight="1" x14ac:dyDescent="0.2">
      <c r="A5" s="383" t="s">
        <v>58</v>
      </c>
      <c r="B5" s="394" t="str">
        <f>Terrap.!B5</f>
        <v xml:space="preserve">PREFEITURA MUNICIPAL DE BARRA DO BUGRES </v>
      </c>
      <c r="C5" s="394"/>
      <c r="D5" s="394"/>
      <c r="E5" s="385" t="s">
        <v>370</v>
      </c>
      <c r="F5" s="1018" t="str">
        <f>Terrap.!F5</f>
        <v>maio 2020</v>
      </c>
      <c r="G5" s="1018"/>
      <c r="H5" s="1018"/>
      <c r="I5" s="1018"/>
      <c r="J5" s="1018"/>
      <c r="K5" s="1018"/>
      <c r="L5" s="1020"/>
      <c r="M5" s="1020"/>
      <c r="N5" s="1020"/>
      <c r="O5" s="1020"/>
      <c r="P5" s="1021"/>
    </row>
    <row r="6" spans="1:16" ht="15.75" thickBot="1" x14ac:dyDescent="0.25">
      <c r="A6" s="386" t="s">
        <v>59</v>
      </c>
      <c r="B6" s="694">
        <f>Pavim.!B6</f>
        <v>7896.8</v>
      </c>
      <c r="C6" s="694"/>
      <c r="D6" s="694"/>
      <c r="E6" s="387" t="s">
        <v>60</v>
      </c>
      <c r="F6" s="1163">
        <f>Terrap.!F6</f>
        <v>0.26740000000000003</v>
      </c>
      <c r="G6" s="1163"/>
      <c r="H6" s="1163"/>
      <c r="I6" s="1163"/>
      <c r="J6" s="1163"/>
      <c r="K6" s="695" t="s">
        <v>61</v>
      </c>
      <c r="L6" s="1022"/>
      <c r="M6" s="1022"/>
      <c r="N6" s="1022"/>
      <c r="O6" s="1022"/>
      <c r="P6" s="1023"/>
    </row>
    <row r="7" spans="1:16" ht="18.75" customHeight="1" thickBot="1" x14ac:dyDescent="0.25">
      <c r="A7" s="1094" t="s">
        <v>319</v>
      </c>
      <c r="B7" s="1095"/>
      <c r="C7" s="1095"/>
      <c r="D7" s="1095"/>
      <c r="E7" s="1095"/>
      <c r="F7" s="1095"/>
      <c r="G7" s="1095"/>
      <c r="H7" s="1095"/>
      <c r="I7" s="1095"/>
      <c r="J7" s="1095"/>
      <c r="K7" s="1095"/>
      <c r="L7" s="1095"/>
      <c r="M7" s="1095"/>
      <c r="N7" s="1095"/>
      <c r="O7" s="1095"/>
      <c r="P7" s="1096"/>
    </row>
    <row r="8" spans="1:16" ht="26.25" customHeight="1" x14ac:dyDescent="0.2">
      <c r="A8" s="1168" t="s">
        <v>62</v>
      </c>
      <c r="B8" s="1170" t="s">
        <v>63</v>
      </c>
      <c r="C8" s="1164" t="s">
        <v>66</v>
      </c>
      <c r="D8" s="1164" t="s">
        <v>320</v>
      </c>
      <c r="E8" s="1164" t="s">
        <v>321</v>
      </c>
      <c r="F8" s="1164" t="s">
        <v>322</v>
      </c>
      <c r="G8" s="1164"/>
      <c r="H8" s="1164"/>
      <c r="I8" s="1164"/>
      <c r="J8" s="1164" t="s">
        <v>323</v>
      </c>
      <c r="K8" s="1164" t="s">
        <v>324</v>
      </c>
      <c r="L8" s="1164" t="s">
        <v>325</v>
      </c>
      <c r="M8" s="1164" t="s">
        <v>623</v>
      </c>
      <c r="N8" s="1164" t="s">
        <v>624</v>
      </c>
      <c r="O8" s="1161" t="s">
        <v>625</v>
      </c>
      <c r="P8" s="1161" t="s">
        <v>631</v>
      </c>
    </row>
    <row r="9" spans="1:16" ht="15.75" customHeight="1" x14ac:dyDescent="0.2">
      <c r="A9" s="1169"/>
      <c r="B9" s="1171"/>
      <c r="C9" s="1165"/>
      <c r="D9" s="1165"/>
      <c r="E9" s="1165"/>
      <c r="F9" s="539" t="s">
        <v>326</v>
      </c>
      <c r="G9" s="539" t="s">
        <v>327</v>
      </c>
      <c r="H9" s="539" t="s">
        <v>328</v>
      </c>
      <c r="I9" s="539" t="s">
        <v>329</v>
      </c>
      <c r="J9" s="1165"/>
      <c r="K9" s="1165"/>
      <c r="L9" s="1165"/>
      <c r="M9" s="1165"/>
      <c r="N9" s="1165"/>
      <c r="O9" s="1162"/>
      <c r="P9" s="1162"/>
    </row>
    <row r="10" spans="1:16" ht="15.75" customHeight="1" x14ac:dyDescent="0.2">
      <c r="A10" s="1172" t="str">
        <f>Terrap.!A10</f>
        <v>TRECHO 01</v>
      </c>
      <c r="B10" s="1173"/>
      <c r="C10" s="1173"/>
      <c r="D10" s="1173"/>
      <c r="E10" s="1173"/>
      <c r="F10" s="1173"/>
      <c r="G10" s="1173"/>
      <c r="H10" s="1173"/>
      <c r="I10" s="1173"/>
      <c r="J10" s="1173"/>
      <c r="K10" s="1173"/>
      <c r="L10" s="1173"/>
      <c r="M10" s="1173"/>
      <c r="N10" s="1173"/>
      <c r="O10" s="1173"/>
      <c r="P10" s="1174"/>
    </row>
    <row r="11" spans="1:16" x14ac:dyDescent="0.2">
      <c r="A11" s="540">
        <f>Terrap.!A11</f>
        <v>1</v>
      </c>
      <c r="B11" s="541" t="str">
        <f>Terrap.!B11</f>
        <v>RUA DOM PEDRO II</v>
      </c>
      <c r="C11" s="542">
        <f>Terrap.!J11</f>
        <v>3130.84</v>
      </c>
      <c r="D11" s="543">
        <v>0.2</v>
      </c>
      <c r="E11" s="543">
        <v>0.15</v>
      </c>
      <c r="F11" s="544"/>
      <c r="G11" s="544"/>
      <c r="H11" s="544"/>
      <c r="I11" s="544">
        <f>F11*G11*H11</f>
        <v>0</v>
      </c>
      <c r="J11" s="544">
        <f>C11*D11</f>
        <v>626.16999999999996</v>
      </c>
      <c r="K11" s="544">
        <f>C11*E11-I11</f>
        <v>469.63</v>
      </c>
      <c r="L11" s="544">
        <f>SUM(J11:K11)</f>
        <v>1095.8</v>
      </c>
      <c r="M11" s="543">
        <v>1.1599999999999999</v>
      </c>
      <c r="N11" s="543">
        <v>19.309999999999999</v>
      </c>
      <c r="O11" s="543">
        <f>L11*M11</f>
        <v>1271.1300000000001</v>
      </c>
      <c r="P11" s="545">
        <f>L11*N11</f>
        <v>21159.9</v>
      </c>
    </row>
    <row r="12" spans="1:16" ht="13.5" customHeight="1" x14ac:dyDescent="0.2">
      <c r="A12" s="540">
        <f>Terrap.!A12</f>
        <v>2</v>
      </c>
      <c r="B12" s="541" t="str">
        <f>Terrap.!B12</f>
        <v>RUA DOM ARTUR</v>
      </c>
      <c r="C12" s="542">
        <f>Terrap.!J12</f>
        <v>2826.97</v>
      </c>
      <c r="D12" s="543">
        <f t="shared" ref="D12:E14" si="0">D11</f>
        <v>0.2</v>
      </c>
      <c r="E12" s="543">
        <f t="shared" si="0"/>
        <v>0.15</v>
      </c>
      <c r="F12" s="544"/>
      <c r="G12" s="544"/>
      <c r="H12" s="544"/>
      <c r="I12" s="544">
        <f>F12*G12*H12</f>
        <v>0</v>
      </c>
      <c r="J12" s="544">
        <f>C12*D12</f>
        <v>565.39</v>
      </c>
      <c r="K12" s="544">
        <f>C12*E12-I12</f>
        <v>424.05</v>
      </c>
      <c r="L12" s="544">
        <f>SUM(J12:K12)</f>
        <v>989.44</v>
      </c>
      <c r="M12" s="543">
        <f t="shared" ref="M12:N14" si="1">M11</f>
        <v>1.1599999999999999</v>
      </c>
      <c r="N12" s="543">
        <f t="shared" si="1"/>
        <v>19.309999999999999</v>
      </c>
      <c r="O12" s="543">
        <f>L12*M12</f>
        <v>1147.75</v>
      </c>
      <c r="P12" s="545">
        <f>L12*N12</f>
        <v>19106.09</v>
      </c>
    </row>
    <row r="13" spans="1:16" ht="13.5" customHeight="1" x14ac:dyDescent="0.2">
      <c r="A13" s="540">
        <f>Terrap.!A15</f>
        <v>3</v>
      </c>
      <c r="B13" s="541" t="str">
        <f>Terrap.!B15</f>
        <v>RUA TAPAJOS</v>
      </c>
      <c r="C13" s="542">
        <f>Terrap.!J15</f>
        <v>2764.12</v>
      </c>
      <c r="D13" s="543">
        <f t="shared" si="0"/>
        <v>0.2</v>
      </c>
      <c r="E13" s="543">
        <f t="shared" si="0"/>
        <v>0.15</v>
      </c>
      <c r="F13" s="544"/>
      <c r="G13" s="544"/>
      <c r="H13" s="544"/>
      <c r="I13" s="544">
        <f>F13*G13*H13</f>
        <v>0</v>
      </c>
      <c r="J13" s="544">
        <f>C13*D13</f>
        <v>552.82000000000005</v>
      </c>
      <c r="K13" s="544">
        <f>C13*E13-I13</f>
        <v>414.62</v>
      </c>
      <c r="L13" s="544">
        <f>SUM(J13:K13)</f>
        <v>967.44</v>
      </c>
      <c r="M13" s="543">
        <f t="shared" si="1"/>
        <v>1.1599999999999999</v>
      </c>
      <c r="N13" s="543">
        <f t="shared" si="1"/>
        <v>19.309999999999999</v>
      </c>
      <c r="O13" s="543">
        <f>L13*M13</f>
        <v>1122.23</v>
      </c>
      <c r="P13" s="545">
        <f>L13*N13</f>
        <v>18681.27</v>
      </c>
    </row>
    <row r="14" spans="1:16" ht="13.5" customHeight="1" x14ac:dyDescent="0.2">
      <c r="A14" s="540">
        <f>Terrap.!A16</f>
        <v>4</v>
      </c>
      <c r="B14" s="541">
        <f>Terrap.!B16</f>
        <v>0</v>
      </c>
      <c r="C14" s="542">
        <f>Terrap.!J16</f>
        <v>0</v>
      </c>
      <c r="D14" s="543">
        <f t="shared" si="0"/>
        <v>0.2</v>
      </c>
      <c r="E14" s="543">
        <f t="shared" si="0"/>
        <v>0.15</v>
      </c>
      <c r="F14" s="544"/>
      <c r="G14" s="544"/>
      <c r="H14" s="544"/>
      <c r="I14" s="544">
        <f>F14*G14*H14</f>
        <v>0</v>
      </c>
      <c r="J14" s="544">
        <f>C14*D14</f>
        <v>0</v>
      </c>
      <c r="K14" s="544">
        <f>C14*E14-I14</f>
        <v>0</v>
      </c>
      <c r="L14" s="544">
        <f>SUM(J14:K14)</f>
        <v>0</v>
      </c>
      <c r="M14" s="543">
        <f t="shared" si="1"/>
        <v>1.1599999999999999</v>
      </c>
      <c r="N14" s="543">
        <f t="shared" si="1"/>
        <v>19.309999999999999</v>
      </c>
      <c r="O14" s="543">
        <f>L14*M14</f>
        <v>0</v>
      </c>
      <c r="P14" s="545">
        <f>L14*N14</f>
        <v>0</v>
      </c>
    </row>
    <row r="15" spans="1:16" ht="13.5" customHeight="1" x14ac:dyDescent="0.2">
      <c r="A15" s="540"/>
      <c r="B15" s="541"/>
      <c r="C15" s="542"/>
      <c r="D15" s="543"/>
      <c r="E15" s="543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5"/>
    </row>
    <row r="16" spans="1:16" ht="19.5" customHeight="1" thickBot="1" x14ac:dyDescent="0.25">
      <c r="A16" s="1166" t="s">
        <v>403</v>
      </c>
      <c r="B16" s="1167"/>
      <c r="C16" s="546">
        <f>SUM(C11:C15)</f>
        <v>8721.93</v>
      </c>
      <c r="D16" s="546"/>
      <c r="E16" s="546"/>
      <c r="F16" s="547"/>
      <c r="G16" s="547"/>
      <c r="H16" s="547"/>
      <c r="I16" s="547"/>
      <c r="J16" s="546">
        <f>SUM(J11:J15)</f>
        <v>1744.38</v>
      </c>
      <c r="K16" s="546">
        <f>SUM(K11:K15)</f>
        <v>1308.3</v>
      </c>
      <c r="L16" s="546">
        <f>SUM(L11:L15)</f>
        <v>3052.68</v>
      </c>
      <c r="M16" s="548"/>
      <c r="N16" s="548"/>
      <c r="O16" s="549">
        <f>SUM(O11:O15)</f>
        <v>3541.11</v>
      </c>
      <c r="P16" s="549">
        <f>SUM(P11:P15)</f>
        <v>58947.26</v>
      </c>
    </row>
    <row r="18" spans="2:12" s="266" customFormat="1" x14ac:dyDescent="0.2">
      <c r="L18" s="267"/>
    </row>
    <row r="19" spans="2:12" s="266" customFormat="1" x14ac:dyDescent="0.2">
      <c r="B19" s="268" t="str">
        <f>Terrap.!B20</f>
        <v xml:space="preserve">Vinicius Ferreira Fava </v>
      </c>
      <c r="K19" s="267"/>
    </row>
    <row r="20" spans="2:12" s="266" customFormat="1" x14ac:dyDescent="0.2">
      <c r="B20" s="269" t="str">
        <f>Terrap.!B21</f>
        <v>ENGº CIVIL</v>
      </c>
    </row>
    <row r="21" spans="2:12" s="266" customFormat="1" x14ac:dyDescent="0.2">
      <c r="B21" s="269" t="str">
        <f>Terrap.!B22</f>
        <v>Crea: 121.286.161-2</v>
      </c>
      <c r="C21" s="267"/>
    </row>
    <row r="22" spans="2:12" s="266" customFormat="1" x14ac:dyDescent="0.2">
      <c r="C22" s="267"/>
    </row>
    <row r="23" spans="2:12" s="266" customFormat="1" x14ac:dyDescent="0.2">
      <c r="C23" s="267"/>
    </row>
  </sheetData>
  <mergeCells count="23">
    <mergeCell ref="A1:P1"/>
    <mergeCell ref="A2:P2"/>
    <mergeCell ref="A16:B16"/>
    <mergeCell ref="B3:P3"/>
    <mergeCell ref="A7:P7"/>
    <mergeCell ref="A8:A9"/>
    <mergeCell ref="B8:B9"/>
    <mergeCell ref="C8:C9"/>
    <mergeCell ref="D8:D9"/>
    <mergeCell ref="E8:E9"/>
    <mergeCell ref="F8:I8"/>
    <mergeCell ref="J8:J9"/>
    <mergeCell ref="K8:K9"/>
    <mergeCell ref="L8:L9"/>
    <mergeCell ref="M8:M9"/>
    <mergeCell ref="A10:P10"/>
    <mergeCell ref="O8:O9"/>
    <mergeCell ref="P8:P9"/>
    <mergeCell ref="B4:K4"/>
    <mergeCell ref="L4:P6"/>
    <mergeCell ref="F6:J6"/>
    <mergeCell ref="F5:K5"/>
    <mergeCell ref="N8:N9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view="pageBreakPreview" topLeftCell="A7" zoomScaleSheetLayoutView="100" workbookViewId="0">
      <selection activeCell="J15" sqref="J15"/>
    </sheetView>
  </sheetViews>
  <sheetFormatPr defaultRowHeight="12.75" x14ac:dyDescent="0.2"/>
  <cols>
    <col min="1" max="1" width="12.42578125" style="265" customWidth="1"/>
    <col min="2" max="2" width="51.28515625" style="265" bestFit="1" customWidth="1"/>
    <col min="3" max="3" width="11.7109375" style="265" customWidth="1"/>
    <col min="4" max="4" width="10.7109375" style="265" customWidth="1"/>
    <col min="5" max="5" width="11.28515625" style="265" bestFit="1" customWidth="1"/>
    <col min="6" max="7" width="9.140625" style="265" customWidth="1"/>
    <col min="8" max="8" width="12.28515625" style="265" customWidth="1"/>
    <col min="9" max="9" width="14.28515625" style="265" customWidth="1"/>
    <col min="10" max="10" width="16.5703125" style="265" customWidth="1"/>
    <col min="11" max="12" width="9.140625" style="265"/>
    <col min="13" max="13" width="11.7109375" style="265" bestFit="1" customWidth="1"/>
    <col min="14" max="16384" width="9.140625" style="265"/>
  </cols>
  <sheetData>
    <row r="1" spans="1:13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3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3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016"/>
      <c r="I3" s="1208" t="str">
        <f>Terrap.!I3</f>
        <v>SINAPI - MARÇO / 2020                                                                                                                               ANP - NOV/2019 (desonerado) SICRO OUT/2019</v>
      </c>
      <c r="J3" s="1209"/>
    </row>
    <row r="4" spans="1:13" ht="15" customHeight="1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016"/>
      <c r="I4" s="1210"/>
      <c r="J4" s="1211"/>
    </row>
    <row r="5" spans="1:13" ht="16.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018"/>
      <c r="I5" s="1210"/>
      <c r="J5" s="1211"/>
    </row>
    <row r="6" spans="1:13" ht="15.75" thickBot="1" x14ac:dyDescent="0.25">
      <c r="A6" s="386" t="s">
        <v>59</v>
      </c>
      <c r="B6" s="1019">
        <f>C19</f>
        <v>7896.8</v>
      </c>
      <c r="C6" s="1019"/>
      <c r="D6" s="1019"/>
      <c r="E6" s="387" t="s">
        <v>60</v>
      </c>
      <c r="F6" s="1163">
        <f>Terrap.!F6</f>
        <v>0.26740000000000003</v>
      </c>
      <c r="G6" s="1163"/>
      <c r="H6" s="387" t="s">
        <v>61</v>
      </c>
      <c r="I6" s="1212"/>
      <c r="J6" s="1213"/>
    </row>
    <row r="7" spans="1:13" ht="21.75" customHeight="1" thickBot="1" x14ac:dyDescent="0.25">
      <c r="A7" s="1202" t="s">
        <v>224</v>
      </c>
      <c r="B7" s="1203"/>
      <c r="C7" s="1203"/>
      <c r="D7" s="1203"/>
      <c r="E7" s="1203"/>
      <c r="F7" s="1203"/>
      <c r="G7" s="1203"/>
      <c r="H7" s="1203"/>
      <c r="I7" s="1203"/>
      <c r="J7" s="1204"/>
    </row>
    <row r="8" spans="1:13" s="749" customFormat="1" ht="14.25" x14ac:dyDescent="0.2">
      <c r="A8" s="1205" t="s">
        <v>62</v>
      </c>
      <c r="B8" s="1179" t="s">
        <v>63</v>
      </c>
      <c r="C8" s="1179" t="s">
        <v>376</v>
      </c>
      <c r="D8" s="1179" t="s">
        <v>328</v>
      </c>
      <c r="E8" s="1179" t="s">
        <v>64</v>
      </c>
      <c r="F8" s="1179" t="s">
        <v>65</v>
      </c>
      <c r="G8" s="1179"/>
      <c r="H8" s="1179"/>
      <c r="I8" s="1179"/>
      <c r="J8" s="1180" t="s">
        <v>66</v>
      </c>
    </row>
    <row r="9" spans="1:13" s="749" customFormat="1" ht="28.5" x14ac:dyDescent="0.2">
      <c r="A9" s="1206"/>
      <c r="B9" s="1207"/>
      <c r="C9" s="1207"/>
      <c r="D9" s="1207"/>
      <c r="E9" s="1207"/>
      <c r="F9" s="673" t="s">
        <v>67</v>
      </c>
      <c r="G9" s="673" t="s">
        <v>68</v>
      </c>
      <c r="H9" s="673" t="s">
        <v>69</v>
      </c>
      <c r="I9" s="673" t="s">
        <v>66</v>
      </c>
      <c r="J9" s="1181"/>
    </row>
    <row r="10" spans="1:13" ht="18" customHeight="1" x14ac:dyDescent="0.2">
      <c r="A10" s="1184" t="str">
        <f>Terrap.!A10</f>
        <v>TRECHO 01</v>
      </c>
      <c r="B10" s="1185"/>
      <c r="C10" s="1185"/>
      <c r="D10" s="1185"/>
      <c r="E10" s="1185"/>
      <c r="F10" s="1185"/>
      <c r="G10" s="1185"/>
      <c r="H10" s="1185"/>
      <c r="I10" s="1185"/>
      <c r="J10" s="1186"/>
    </row>
    <row r="11" spans="1:13" ht="18.75" customHeight="1" x14ac:dyDescent="0.2">
      <c r="A11" s="556">
        <f>Terrap.!A11</f>
        <v>1</v>
      </c>
      <c r="B11" s="455" t="str">
        <f>Terrap.!B11</f>
        <v>RUA DOM PEDRO II</v>
      </c>
      <c r="C11" s="557">
        <f>Terrap.!C11</f>
        <v>337.84</v>
      </c>
      <c r="D11" s="367">
        <f>Terrap.!D11-0.86</f>
        <v>8</v>
      </c>
      <c r="E11" s="558">
        <f>(D11*C11)</f>
        <v>2702.72</v>
      </c>
      <c r="F11" s="559" t="str">
        <f>Terrap.!F11</f>
        <v>LR-01</v>
      </c>
      <c r="G11" s="368">
        <f>Terrap.!G11</f>
        <v>6</v>
      </c>
      <c r="H11" s="371">
        <v>24.86</v>
      </c>
      <c r="I11" s="557">
        <f t="shared" ref="I11:I16" si="0">H11*G11</f>
        <v>149.16</v>
      </c>
      <c r="J11" s="560">
        <f>I11+E11</f>
        <v>2851.88</v>
      </c>
      <c r="K11" s="292"/>
      <c r="M11" s="292"/>
    </row>
    <row r="12" spans="1:13" ht="18.75" customHeight="1" x14ac:dyDescent="0.2">
      <c r="A12" s="1187">
        <f>Terrap.!A12</f>
        <v>2</v>
      </c>
      <c r="B12" s="1190" t="str">
        <f>Terrap.!B12</f>
        <v>RUA DOM ARTUR</v>
      </c>
      <c r="C12" s="1193">
        <f>Terrap.!C12</f>
        <v>296.27</v>
      </c>
      <c r="D12" s="1193">
        <f>Terrap.!D12-0.86</f>
        <v>8</v>
      </c>
      <c r="E12" s="1196">
        <f>(D12*C12)</f>
        <v>2370.16</v>
      </c>
      <c r="F12" s="927" t="str">
        <f>Terrap.!F12</f>
        <v>LR-01</v>
      </c>
      <c r="G12" s="368">
        <f>Terrap.!G12</f>
        <v>2</v>
      </c>
      <c r="H12" s="371">
        <f>H11</f>
        <v>24.86</v>
      </c>
      <c r="I12" s="662">
        <f t="shared" si="0"/>
        <v>49.72</v>
      </c>
      <c r="J12" s="1199">
        <f>I12+E12+I13+I14</f>
        <v>2565.48</v>
      </c>
      <c r="K12" s="292"/>
      <c r="M12" s="292"/>
    </row>
    <row r="13" spans="1:13" ht="18.75" customHeight="1" x14ac:dyDescent="0.2">
      <c r="A13" s="1188"/>
      <c r="B13" s="1191"/>
      <c r="C13" s="1194"/>
      <c r="D13" s="1194"/>
      <c r="E13" s="1197"/>
      <c r="F13" s="927" t="str">
        <f>Terrap.!F13</f>
        <v>LR-02</v>
      </c>
      <c r="G13" s="368">
        <f>Terrap.!G13</f>
        <v>1</v>
      </c>
      <c r="H13" s="371">
        <v>35.840000000000003</v>
      </c>
      <c r="I13" s="662">
        <f t="shared" si="0"/>
        <v>35.840000000000003</v>
      </c>
      <c r="J13" s="1200"/>
      <c r="K13" s="292"/>
      <c r="M13" s="292"/>
    </row>
    <row r="14" spans="1:13" ht="18.75" customHeight="1" x14ac:dyDescent="0.2">
      <c r="A14" s="1189"/>
      <c r="B14" s="1192"/>
      <c r="C14" s="1195"/>
      <c r="D14" s="1195"/>
      <c r="E14" s="1198"/>
      <c r="F14" s="927" t="str">
        <f>Terrap.!F14</f>
        <v>CT-01</v>
      </c>
      <c r="G14" s="368">
        <f>Terrap.!G14</f>
        <v>1</v>
      </c>
      <c r="H14" s="371">
        <v>109.76</v>
      </c>
      <c r="I14" s="662">
        <f t="shared" si="0"/>
        <v>109.76</v>
      </c>
      <c r="J14" s="1201"/>
      <c r="K14" s="292"/>
      <c r="M14" s="292"/>
    </row>
    <row r="15" spans="1:13" ht="18.75" customHeight="1" x14ac:dyDescent="0.2">
      <c r="A15" s="556">
        <f>Terrap.!A15</f>
        <v>3</v>
      </c>
      <c r="B15" s="455" t="str">
        <f>Terrap.!B15</f>
        <v>RUA TAPAJOS</v>
      </c>
      <c r="C15" s="557">
        <f>Terrap.!C15</f>
        <v>340</v>
      </c>
      <c r="D15" s="663">
        <f>Terrap.!D15-0.86</f>
        <v>7</v>
      </c>
      <c r="E15" s="558">
        <f>(D15*C15)</f>
        <v>2380</v>
      </c>
      <c r="F15" s="927" t="str">
        <f>Terrap.!F15</f>
        <v>LR-01</v>
      </c>
      <c r="G15" s="368">
        <f>Terrap.!G15</f>
        <v>4</v>
      </c>
      <c r="H15" s="371">
        <f>H11</f>
        <v>24.86</v>
      </c>
      <c r="I15" s="662">
        <f t="shared" si="0"/>
        <v>99.44</v>
      </c>
      <c r="J15" s="560">
        <f>I15+E15</f>
        <v>2479.44</v>
      </c>
      <c r="K15" s="292"/>
      <c r="M15" s="292"/>
    </row>
    <row r="16" spans="1:13" ht="18.75" customHeight="1" x14ac:dyDescent="0.2">
      <c r="A16" s="661">
        <f>Terrap.!A16</f>
        <v>4</v>
      </c>
      <c r="B16" s="652">
        <f>Terrap.!B16</f>
        <v>0</v>
      </c>
      <c r="C16" s="662">
        <f>Terrap.!C16</f>
        <v>0</v>
      </c>
      <c r="D16" s="663">
        <f>Terrap.!D16-0.86</f>
        <v>-0.86</v>
      </c>
      <c r="E16" s="664">
        <f>(D16*C16)</f>
        <v>0</v>
      </c>
      <c r="F16" s="559">
        <f>Terrap.!F16</f>
        <v>0</v>
      </c>
      <c r="G16" s="368">
        <f>Terrap.!G16</f>
        <v>0</v>
      </c>
      <c r="H16" s="371"/>
      <c r="I16" s="662">
        <f t="shared" si="0"/>
        <v>0</v>
      </c>
      <c r="J16" s="659">
        <f>I16+E16</f>
        <v>0</v>
      </c>
      <c r="K16" s="292"/>
      <c r="M16" s="292"/>
    </row>
    <row r="17" spans="1:13" ht="18.75" customHeight="1" x14ac:dyDescent="0.2">
      <c r="A17" s="556"/>
      <c r="B17" s="455"/>
      <c r="C17" s="557"/>
      <c r="D17" s="367"/>
      <c r="E17" s="558"/>
      <c r="F17" s="456"/>
      <c r="G17" s="368"/>
      <c r="H17" s="371"/>
      <c r="I17" s="557"/>
      <c r="J17" s="560"/>
      <c r="K17" s="292"/>
      <c r="M17" s="292"/>
    </row>
    <row r="18" spans="1:13" ht="18.75" customHeight="1" x14ac:dyDescent="0.2">
      <c r="A18" s="1182" t="s">
        <v>70</v>
      </c>
      <c r="B18" s="1183"/>
      <c r="C18" s="370">
        <f>SUM(C11:C17)</f>
        <v>974.11</v>
      </c>
      <c r="D18" s="368"/>
      <c r="E18" s="370">
        <f>SUM(E11:E17)</f>
        <v>7452.88</v>
      </c>
      <c r="F18" s="456"/>
      <c r="G18" s="368"/>
      <c r="H18" s="456"/>
      <c r="I18" s="370">
        <f>SUM(I11:I17)</f>
        <v>443.92</v>
      </c>
      <c r="J18" s="375">
        <f>SUM(J11:J17)</f>
        <v>7896.8</v>
      </c>
      <c r="K18" s="292"/>
      <c r="M18" s="292"/>
    </row>
    <row r="19" spans="1:13" ht="18.75" customHeight="1" thickBot="1" x14ac:dyDescent="0.25">
      <c r="A19" s="1175" t="s">
        <v>71</v>
      </c>
      <c r="B19" s="1176"/>
      <c r="C19" s="1177">
        <f>I18+E18</f>
        <v>7896.8</v>
      </c>
      <c r="D19" s="1177"/>
      <c r="E19" s="1177"/>
      <c r="F19" s="1177"/>
      <c r="G19" s="1177"/>
      <c r="H19" s="1177"/>
      <c r="I19" s="1177"/>
      <c r="J19" s="1178"/>
      <c r="K19" s="292"/>
      <c r="M19" s="292"/>
    </row>
    <row r="20" spans="1:13" x14ac:dyDescent="0.2">
      <c r="A20" s="397"/>
      <c r="B20" s="397"/>
      <c r="C20" s="397"/>
      <c r="D20" s="397"/>
      <c r="E20" s="397"/>
      <c r="F20" s="397"/>
      <c r="G20" s="397"/>
      <c r="H20" s="397"/>
      <c r="I20" s="397"/>
      <c r="J20" s="397"/>
      <c r="M20" s="292"/>
    </row>
    <row r="21" spans="1:13" x14ac:dyDescent="0.2">
      <c r="A21" s="397"/>
      <c r="B21" s="398"/>
      <c r="C21" s="397"/>
      <c r="D21" s="397"/>
      <c r="E21" s="397"/>
      <c r="F21" s="397"/>
      <c r="G21" s="397"/>
      <c r="H21" s="399"/>
      <c r="I21" s="397"/>
      <c r="J21" s="397"/>
      <c r="M21" s="292"/>
    </row>
    <row r="22" spans="1:13" ht="15.75" x14ac:dyDescent="0.2">
      <c r="A22" s="397"/>
      <c r="B22" s="916" t="str">
        <f>Terrap.!B20</f>
        <v xml:space="preserve">Vinicius Ferreira Fava </v>
      </c>
      <c r="C22" s="397"/>
      <c r="D22" s="397"/>
      <c r="E22" s="400"/>
      <c r="F22" s="397"/>
      <c r="G22" s="400"/>
      <c r="H22" s="397"/>
      <c r="I22" s="397"/>
      <c r="J22" s="397"/>
    </row>
    <row r="23" spans="1:13" x14ac:dyDescent="0.2">
      <c r="A23" s="397"/>
      <c r="B23" s="917" t="str">
        <f>Terrap.!B21</f>
        <v>ENGº CIVIL</v>
      </c>
      <c r="C23" s="397"/>
      <c r="D23" s="397"/>
      <c r="E23" s="397"/>
      <c r="F23" s="397"/>
      <c r="G23" s="397"/>
      <c r="H23" s="397"/>
      <c r="I23" s="397"/>
      <c r="J23" s="397"/>
    </row>
    <row r="24" spans="1:13" x14ac:dyDescent="0.2">
      <c r="A24" s="397"/>
      <c r="B24" s="917" t="str">
        <f>Terrap.!B22</f>
        <v>Crea: 121.286.161-2</v>
      </c>
      <c r="C24" s="397"/>
      <c r="D24" s="397"/>
      <c r="E24" s="397"/>
      <c r="F24" s="397"/>
      <c r="G24" s="397"/>
      <c r="H24" s="397"/>
      <c r="I24" s="397"/>
      <c r="J24" s="397"/>
    </row>
  </sheetData>
  <mergeCells count="27">
    <mergeCell ref="A1:J1"/>
    <mergeCell ref="A2:J2"/>
    <mergeCell ref="A7:J7"/>
    <mergeCell ref="A8:A9"/>
    <mergeCell ref="B8:B9"/>
    <mergeCell ref="C8:C9"/>
    <mergeCell ref="D8:D9"/>
    <mergeCell ref="E8:E9"/>
    <mergeCell ref="B6:D6"/>
    <mergeCell ref="F6:G6"/>
    <mergeCell ref="F5:H5"/>
    <mergeCell ref="B5:D5"/>
    <mergeCell ref="B4:H4"/>
    <mergeCell ref="I3:J6"/>
    <mergeCell ref="B3:H3"/>
    <mergeCell ref="A19:B19"/>
    <mergeCell ref="C19:J19"/>
    <mergeCell ref="F8:I8"/>
    <mergeCell ref="J8:J9"/>
    <mergeCell ref="A18:B18"/>
    <mergeCell ref="A10:J10"/>
    <mergeCell ref="A12:A14"/>
    <mergeCell ref="B12:B14"/>
    <mergeCell ref="C12:C14"/>
    <mergeCell ref="D12:D14"/>
    <mergeCell ref="E12:E14"/>
    <mergeCell ref="J12:J1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view="pageBreakPreview" zoomScaleSheetLayoutView="100" workbookViewId="0">
      <selection activeCell="D18" sqref="D18"/>
    </sheetView>
  </sheetViews>
  <sheetFormatPr defaultRowHeight="12.75" x14ac:dyDescent="0.2"/>
  <cols>
    <col min="1" max="1" width="12.42578125" style="265" customWidth="1"/>
    <col min="2" max="2" width="51.28515625" style="265" bestFit="1" customWidth="1"/>
    <col min="3" max="6" width="15" style="265" customWidth="1"/>
    <col min="7" max="7" width="25.140625" style="265" customWidth="1"/>
    <col min="8" max="8" width="26.5703125" style="265" customWidth="1"/>
    <col min="9" max="10" width="9.140625" style="265"/>
    <col min="11" max="11" width="11.7109375" style="265" bestFit="1" customWidth="1"/>
    <col min="12" max="16384" width="9.140625" style="265"/>
  </cols>
  <sheetData>
    <row r="1" spans="1:11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80"/>
    </row>
    <row r="2" spans="1:11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3"/>
    </row>
    <row r="3" spans="1:11" ht="15" x14ac:dyDescent="0.2">
      <c r="A3" s="383" t="s">
        <v>56</v>
      </c>
      <c r="B3" s="1016" t="str">
        <f>Terrap.!B3</f>
        <v>PAVIMENTAÇÃO ASFALTICA E DRENAGEM DE AGUAS PLUVIAIS</v>
      </c>
      <c r="C3" s="1016"/>
      <c r="D3" s="1016"/>
      <c r="E3" s="1016"/>
      <c r="F3" s="1016"/>
      <c r="G3" s="1016"/>
      <c r="H3" s="1220" t="str">
        <f>Terrap.!I3</f>
        <v>SINAPI - MARÇO / 2020                                                                                                                               ANP - NOV/2019 (desonerado) SICRO OUT/2019</v>
      </c>
    </row>
    <row r="4" spans="1:11" ht="15" customHeight="1" x14ac:dyDescent="0.2">
      <c r="A4" s="383" t="s">
        <v>57</v>
      </c>
      <c r="B4" s="1016" t="str">
        <f>Terrap.!B4</f>
        <v>DIVERSAS RUAS - PERIMETRO URBANO</v>
      </c>
      <c r="C4" s="1016"/>
      <c r="D4" s="1016"/>
      <c r="E4" s="1016"/>
      <c r="F4" s="1016"/>
      <c r="G4" s="1016"/>
      <c r="H4" s="1221"/>
    </row>
    <row r="5" spans="1:11" ht="16.5" customHeight="1" x14ac:dyDescent="0.2">
      <c r="A5" s="383" t="s">
        <v>58</v>
      </c>
      <c r="B5" s="1016" t="str">
        <f>Terrap.!B5</f>
        <v xml:space="preserve">PREFEITURA MUNICIPAL DE BARRA DO BUGRES </v>
      </c>
      <c r="C5" s="1016"/>
      <c r="D5" s="1016"/>
      <c r="E5" s="385" t="s">
        <v>370</v>
      </c>
      <c r="F5" s="1018" t="str">
        <f>Terrap.!F5</f>
        <v>maio 2020</v>
      </c>
      <c r="G5" s="1018"/>
      <c r="H5" s="1221"/>
    </row>
    <row r="6" spans="1:11" ht="15.75" thickBot="1" x14ac:dyDescent="0.25">
      <c r="A6" s="386" t="s">
        <v>59</v>
      </c>
      <c r="B6" s="1019">
        <f>Pavim.!C19</f>
        <v>7896.8</v>
      </c>
      <c r="C6" s="1019"/>
      <c r="D6" s="1019"/>
      <c r="E6" s="387" t="s">
        <v>60</v>
      </c>
      <c r="F6" s="767">
        <f>Terrap.!F6</f>
        <v>0.26740000000000003</v>
      </c>
      <c r="G6" s="387" t="s">
        <v>61</v>
      </c>
      <c r="H6" s="1222"/>
    </row>
    <row r="7" spans="1:11" ht="21.75" customHeight="1" thickBot="1" x14ac:dyDescent="0.25">
      <c r="A7" s="1214" t="s">
        <v>522</v>
      </c>
      <c r="B7" s="1215"/>
      <c r="C7" s="1215"/>
      <c r="D7" s="1215"/>
      <c r="E7" s="1215"/>
      <c r="F7" s="1215"/>
      <c r="G7" s="1215"/>
      <c r="H7" s="1216"/>
    </row>
    <row r="8" spans="1:11" s="749" customFormat="1" ht="14.25" customHeight="1" x14ac:dyDescent="0.2">
      <c r="A8" s="1205" t="s">
        <v>62</v>
      </c>
      <c r="B8" s="1179" t="s">
        <v>63</v>
      </c>
      <c r="C8" s="1217" t="s">
        <v>515</v>
      </c>
      <c r="D8" s="1218"/>
      <c r="E8" s="1217" t="s">
        <v>518</v>
      </c>
      <c r="F8" s="1218"/>
      <c r="G8" s="1217" t="s">
        <v>519</v>
      </c>
      <c r="H8" s="1219"/>
    </row>
    <row r="9" spans="1:11" s="749" customFormat="1" ht="14.25" x14ac:dyDescent="0.2">
      <c r="A9" s="1206"/>
      <c r="B9" s="1207"/>
      <c r="C9" s="848" t="s">
        <v>516</v>
      </c>
      <c r="D9" s="848" t="s">
        <v>517</v>
      </c>
      <c r="E9" s="848" t="s">
        <v>516</v>
      </c>
      <c r="F9" s="848" t="s">
        <v>517</v>
      </c>
      <c r="G9" s="848" t="s">
        <v>520</v>
      </c>
      <c r="H9" s="849" t="s">
        <v>521</v>
      </c>
    </row>
    <row r="10" spans="1:11" ht="18" customHeight="1" x14ac:dyDescent="0.2">
      <c r="A10" s="1184" t="str">
        <f>Terrap.!A10</f>
        <v>TRECHO 01</v>
      </c>
      <c r="B10" s="1185"/>
      <c r="C10" s="1185"/>
      <c r="D10" s="1185"/>
      <c r="E10" s="1185"/>
      <c r="F10" s="1185"/>
      <c r="G10" s="1185"/>
      <c r="H10" s="1186"/>
    </row>
    <row r="11" spans="1:11" ht="27.75" customHeight="1" x14ac:dyDescent="0.2">
      <c r="A11" s="661">
        <f>Terrap.!A11</f>
        <v>1</v>
      </c>
      <c r="B11" s="847" t="str">
        <f>Terrap.!B11</f>
        <v>RUA DOM PEDRO II</v>
      </c>
      <c r="C11" s="664" t="s">
        <v>617</v>
      </c>
      <c r="D11" s="908" t="s">
        <v>618</v>
      </c>
      <c r="E11" s="664" t="s">
        <v>619</v>
      </c>
      <c r="F11" s="908" t="s">
        <v>620</v>
      </c>
      <c r="G11" s="769" t="s">
        <v>607</v>
      </c>
      <c r="H11" s="770" t="s">
        <v>606</v>
      </c>
      <c r="I11" s="292"/>
      <c r="K11" s="292"/>
    </row>
    <row r="12" spans="1:11" ht="27.75" customHeight="1" x14ac:dyDescent="0.2">
      <c r="A12" s="661">
        <f>Terrap.!A12</f>
        <v>2</v>
      </c>
      <c r="B12" s="847" t="str">
        <f>Terrap.!B12</f>
        <v>RUA DOM ARTUR</v>
      </c>
      <c r="C12" s="663" t="s">
        <v>615</v>
      </c>
      <c r="D12" s="663" t="s">
        <v>616</v>
      </c>
      <c r="E12" s="664" t="s">
        <v>617</v>
      </c>
      <c r="F12" s="908" t="s">
        <v>618</v>
      </c>
      <c r="G12" s="769" t="s">
        <v>608</v>
      </c>
      <c r="H12" s="770" t="s">
        <v>603</v>
      </c>
      <c r="I12" s="292"/>
      <c r="K12" s="292"/>
    </row>
    <row r="13" spans="1:11" ht="27.75" customHeight="1" x14ac:dyDescent="0.2">
      <c r="A13" s="661">
        <f>Terrap.!A15</f>
        <v>3</v>
      </c>
      <c r="B13" s="847" t="str">
        <f>Terrap.!B15</f>
        <v>RUA TAPAJOS</v>
      </c>
      <c r="C13" s="663" t="s">
        <v>611</v>
      </c>
      <c r="D13" s="663" t="s">
        <v>612</v>
      </c>
      <c r="E13" s="664" t="s">
        <v>613</v>
      </c>
      <c r="F13" s="908" t="s">
        <v>614</v>
      </c>
      <c r="G13" s="769" t="s">
        <v>609</v>
      </c>
      <c r="H13" s="770" t="s">
        <v>610</v>
      </c>
      <c r="I13" s="292"/>
      <c r="K13" s="292"/>
    </row>
    <row r="14" spans="1:11" ht="27.75" customHeight="1" x14ac:dyDescent="0.2">
      <c r="A14" s="661">
        <f>Terrap.!A16</f>
        <v>4</v>
      </c>
      <c r="B14" s="847">
        <f>Terrap.!B16</f>
        <v>0</v>
      </c>
      <c r="C14" s="663"/>
      <c r="D14" s="663"/>
      <c r="E14" s="664"/>
      <c r="F14" s="851"/>
      <c r="G14" s="769"/>
      <c r="H14" s="770"/>
      <c r="I14" s="292"/>
      <c r="K14" s="292"/>
    </row>
    <row r="15" spans="1:11" ht="18.75" customHeight="1" thickBot="1" x14ac:dyDescent="0.25">
      <c r="A15" s="678"/>
      <c r="B15" s="771"/>
      <c r="C15" s="772"/>
      <c r="D15" s="773"/>
      <c r="E15" s="774"/>
      <c r="F15" s="850"/>
      <c r="G15" s="775"/>
      <c r="H15" s="776"/>
      <c r="I15" s="292"/>
      <c r="K15" s="292"/>
    </row>
    <row r="16" spans="1:11" x14ac:dyDescent="0.2">
      <c r="A16" s="397"/>
      <c r="B16" s="397"/>
      <c r="C16" s="397"/>
      <c r="D16" s="397"/>
      <c r="E16" s="397"/>
      <c r="F16" s="397"/>
      <c r="G16" s="397"/>
      <c r="H16" s="397"/>
      <c r="K16" s="292"/>
    </row>
    <row r="17" spans="1:11" x14ac:dyDescent="0.2">
      <c r="A17" s="397"/>
      <c r="B17" s="398"/>
      <c r="C17" s="397"/>
      <c r="D17" s="397"/>
      <c r="E17" s="397"/>
      <c r="F17" s="397"/>
      <c r="G17" s="399"/>
      <c r="H17" s="397"/>
      <c r="K17" s="292"/>
    </row>
    <row r="18" spans="1:11" ht="15.75" x14ac:dyDescent="0.2">
      <c r="A18" s="397"/>
      <c r="B18" s="916" t="str">
        <f>Terrap.!B20</f>
        <v xml:space="preserve">Vinicius Ferreira Fava </v>
      </c>
      <c r="C18" s="397"/>
      <c r="D18" s="397"/>
      <c r="E18" s="400"/>
      <c r="F18" s="397"/>
      <c r="G18" s="397"/>
      <c r="H18" s="397"/>
    </row>
    <row r="19" spans="1:11" x14ac:dyDescent="0.2">
      <c r="A19" s="397"/>
      <c r="B19" s="917" t="str">
        <f>Terrap.!B21</f>
        <v>ENGº CIVIL</v>
      </c>
      <c r="C19" s="397"/>
      <c r="D19" s="397"/>
      <c r="E19" s="397"/>
      <c r="F19" s="397"/>
      <c r="G19" s="397"/>
      <c r="H19" s="397"/>
    </row>
    <row r="20" spans="1:11" x14ac:dyDescent="0.2">
      <c r="A20" s="397"/>
      <c r="B20" s="917" t="str">
        <f>Terrap.!B22</f>
        <v>Crea: 121.286.161-2</v>
      </c>
      <c r="C20" s="397"/>
      <c r="D20" s="397"/>
      <c r="E20" s="397"/>
      <c r="F20" s="397"/>
      <c r="G20" s="397"/>
      <c r="H20" s="397"/>
    </row>
  </sheetData>
  <mergeCells count="15">
    <mergeCell ref="A1:H1"/>
    <mergeCell ref="A2:H2"/>
    <mergeCell ref="A10:H10"/>
    <mergeCell ref="A7:H7"/>
    <mergeCell ref="A8:A9"/>
    <mergeCell ref="B8:B9"/>
    <mergeCell ref="C8:D8"/>
    <mergeCell ref="E8:F8"/>
    <mergeCell ref="G8:H8"/>
    <mergeCell ref="B3:G3"/>
    <mergeCell ref="H3:H6"/>
    <mergeCell ref="B4:G4"/>
    <mergeCell ref="B5:D5"/>
    <mergeCell ref="F5:G5"/>
    <mergeCell ref="B6:D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view="pageBreakPreview" topLeftCell="A4" zoomScale="115" zoomScaleSheetLayoutView="115" workbookViewId="0">
      <selection activeCell="J13" sqref="J13"/>
    </sheetView>
  </sheetViews>
  <sheetFormatPr defaultRowHeight="12.75" x14ac:dyDescent="0.2"/>
  <cols>
    <col min="1" max="1" width="12.28515625" style="265" customWidth="1"/>
    <col min="2" max="2" width="49.140625" style="265" customWidth="1"/>
    <col min="3" max="3" width="12.5703125" style="265" bestFit="1" customWidth="1"/>
    <col min="4" max="4" width="9.28515625" style="265" bestFit="1" customWidth="1"/>
    <col min="5" max="5" width="11.42578125" style="265" customWidth="1"/>
    <col min="6" max="6" width="12.7109375" style="265" bestFit="1" customWidth="1"/>
    <col min="7" max="7" width="9.28515625" style="265" bestFit="1" customWidth="1"/>
    <col min="8" max="8" width="11" style="265" customWidth="1"/>
    <col min="9" max="9" width="13.140625" style="265" customWidth="1"/>
    <col min="10" max="10" width="15.140625" style="265" customWidth="1"/>
    <col min="11" max="16384" width="9.140625" style="265"/>
  </cols>
  <sheetData>
    <row r="1" spans="1:10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0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0" x14ac:dyDescent="0.2">
      <c r="A3" s="403" t="s">
        <v>56</v>
      </c>
      <c r="B3" s="1225" t="str">
        <f>Terrap.!B3</f>
        <v>PAVIMENTAÇÃO ASFALTICA E DRENAGEM DE AGUAS PLUVIAIS</v>
      </c>
      <c r="C3" s="1225"/>
      <c r="D3" s="1225"/>
      <c r="E3" s="1225"/>
      <c r="F3" s="1225"/>
      <c r="G3" s="1225"/>
      <c r="H3" s="1225"/>
      <c r="I3" s="1225"/>
      <c r="J3" s="1226"/>
    </row>
    <row r="4" spans="1:10" x14ac:dyDescent="0.2">
      <c r="A4" s="403" t="s">
        <v>57</v>
      </c>
      <c r="B4" s="1225" t="str">
        <f>Terrap.!B4</f>
        <v>DIVERSAS RUAS - PERIMETRO URBANO</v>
      </c>
      <c r="C4" s="1225"/>
      <c r="D4" s="1225"/>
      <c r="E4" s="1225"/>
      <c r="F4" s="1225"/>
      <c r="G4" s="1225"/>
      <c r="H4" s="1225"/>
      <c r="I4" s="1228" t="str">
        <f>Terrap.!I3</f>
        <v>SINAPI - MARÇO / 2020                                                                                                                               ANP - NOV/2019 (desonerado) SICRO OUT/2019</v>
      </c>
      <c r="J4" s="1229"/>
    </row>
    <row r="5" spans="1:10" ht="16.5" customHeight="1" x14ac:dyDescent="0.2">
      <c r="A5" s="403" t="s">
        <v>58</v>
      </c>
      <c r="B5" s="1225" t="str">
        <f>Terrap.!B5</f>
        <v xml:space="preserve">PREFEITURA MUNICIPAL DE BARRA DO BUGRES </v>
      </c>
      <c r="C5" s="1225"/>
      <c r="D5" s="1225"/>
      <c r="E5" s="404" t="s">
        <v>370</v>
      </c>
      <c r="F5" s="1227" t="str">
        <f>Terrap.!F5</f>
        <v>maio 2020</v>
      </c>
      <c r="G5" s="1227"/>
      <c r="H5" s="1227"/>
      <c r="I5" s="1228"/>
      <c r="J5" s="1229"/>
    </row>
    <row r="6" spans="1:10" ht="22.5" customHeight="1" thickBot="1" x14ac:dyDescent="0.25">
      <c r="A6" s="405" t="s">
        <v>59</v>
      </c>
      <c r="B6" s="1223">
        <f>Pavim.!B6</f>
        <v>7896.8</v>
      </c>
      <c r="C6" s="1223"/>
      <c r="D6" s="1223"/>
      <c r="E6" s="406" t="s">
        <v>60</v>
      </c>
      <c r="F6" s="1224">
        <f>Terrap.!F6</f>
        <v>0.26740000000000003</v>
      </c>
      <c r="G6" s="1224"/>
      <c r="H6" s="406" t="s">
        <v>61</v>
      </c>
      <c r="I6" s="1230"/>
      <c r="J6" s="1231"/>
    </row>
    <row r="7" spans="1:10" ht="20.25" customHeight="1" thickBot="1" x14ac:dyDescent="0.25">
      <c r="A7" s="1232" t="s">
        <v>301</v>
      </c>
      <c r="B7" s="1233"/>
      <c r="C7" s="1233"/>
      <c r="D7" s="1233"/>
      <c r="E7" s="1233"/>
      <c r="F7" s="1233"/>
      <c r="G7" s="1233"/>
      <c r="H7" s="1233"/>
      <c r="I7" s="1233"/>
      <c r="J7" s="1234"/>
    </row>
    <row r="8" spans="1:10" ht="26.25" customHeight="1" x14ac:dyDescent="0.2">
      <c r="A8" s="1168" t="s">
        <v>62</v>
      </c>
      <c r="B8" s="1170" t="s">
        <v>63</v>
      </c>
      <c r="C8" s="1164" t="s">
        <v>66</v>
      </c>
      <c r="D8" s="1164" t="s">
        <v>719</v>
      </c>
      <c r="E8" s="1164" t="s">
        <v>332</v>
      </c>
      <c r="F8" s="1164" t="s">
        <v>333</v>
      </c>
      <c r="G8" s="1164" t="s">
        <v>334</v>
      </c>
      <c r="H8" s="1164" t="s">
        <v>302</v>
      </c>
      <c r="I8" s="1164" t="s">
        <v>303</v>
      </c>
      <c r="J8" s="1161" t="s">
        <v>304</v>
      </c>
    </row>
    <row r="9" spans="1:10" x14ac:dyDescent="0.2">
      <c r="A9" s="1169"/>
      <c r="B9" s="1171"/>
      <c r="C9" s="1165"/>
      <c r="D9" s="1165"/>
      <c r="E9" s="1165"/>
      <c r="F9" s="1165"/>
      <c r="G9" s="1165"/>
      <c r="H9" s="1165"/>
      <c r="I9" s="1165"/>
      <c r="J9" s="1162"/>
    </row>
    <row r="10" spans="1:10" x14ac:dyDescent="0.2">
      <c r="A10" s="1169" t="str">
        <f>Terrap.!A10</f>
        <v>TRECHO 01</v>
      </c>
      <c r="B10" s="1171"/>
      <c r="C10" s="1171"/>
      <c r="D10" s="1171"/>
      <c r="E10" s="1171"/>
      <c r="F10" s="1171"/>
      <c r="G10" s="1171"/>
      <c r="H10" s="1171"/>
      <c r="I10" s="1171"/>
      <c r="J10" s="1235"/>
    </row>
    <row r="11" spans="1:10" x14ac:dyDescent="0.2">
      <c r="A11" s="540">
        <f>Terrap.!A11</f>
        <v>1</v>
      </c>
      <c r="B11" s="541" t="str">
        <f>Terrap.!B11</f>
        <v>RUA DOM PEDRO II</v>
      </c>
      <c r="C11" s="542">
        <f>Pavim.!J11</f>
        <v>2851.88</v>
      </c>
      <c r="D11" s="543">
        <f>COMPOSIÇÕES!H40</f>
        <v>21</v>
      </c>
      <c r="E11" s="543">
        <f>COMPOSIÇÕES!H39</f>
        <v>10.220000000000001</v>
      </c>
      <c r="F11" s="544">
        <f>C11*D11/1000</f>
        <v>59.89</v>
      </c>
      <c r="G11" s="544">
        <f>C11*E11/1000</f>
        <v>29.15</v>
      </c>
      <c r="H11" s="544">
        <f>SUM(F11:G11)</f>
        <v>89.04</v>
      </c>
      <c r="I11" s="544">
        <v>75.2</v>
      </c>
      <c r="J11" s="545">
        <f>H11*I11</f>
        <v>6695.81</v>
      </c>
    </row>
    <row r="12" spans="1:10" x14ac:dyDescent="0.2">
      <c r="A12" s="540">
        <f>Terrap.!A12</f>
        <v>2</v>
      </c>
      <c r="B12" s="541" t="str">
        <f>Terrap.!B12</f>
        <v>RUA DOM ARTUR</v>
      </c>
      <c r="C12" s="542">
        <f>Pavim.!J12</f>
        <v>2565.48</v>
      </c>
      <c r="D12" s="543">
        <f t="shared" ref="D12:E14" si="0">D11</f>
        <v>21</v>
      </c>
      <c r="E12" s="543">
        <f t="shared" si="0"/>
        <v>10.220000000000001</v>
      </c>
      <c r="F12" s="544">
        <f>C12*D12/1000</f>
        <v>53.88</v>
      </c>
      <c r="G12" s="544">
        <f>C12*E12/1000</f>
        <v>26.22</v>
      </c>
      <c r="H12" s="544">
        <f>SUM(F12:G12)</f>
        <v>80.099999999999994</v>
      </c>
      <c r="I12" s="544">
        <f>I11</f>
        <v>75.2</v>
      </c>
      <c r="J12" s="545">
        <f>H12*I12</f>
        <v>6023.52</v>
      </c>
    </row>
    <row r="13" spans="1:10" x14ac:dyDescent="0.2">
      <c r="A13" s="540">
        <f>Terrap.!A15</f>
        <v>3</v>
      </c>
      <c r="B13" s="541" t="str">
        <f>Terrap.!B15</f>
        <v>RUA TAPAJOS</v>
      </c>
      <c r="C13" s="542">
        <f>Pavim.!J15</f>
        <v>2479.44</v>
      </c>
      <c r="D13" s="543">
        <f t="shared" si="0"/>
        <v>21</v>
      </c>
      <c r="E13" s="543">
        <f t="shared" si="0"/>
        <v>10.220000000000001</v>
      </c>
      <c r="F13" s="544">
        <f>C13*D13/1000</f>
        <v>52.07</v>
      </c>
      <c r="G13" s="544">
        <f>C13*E13/1000</f>
        <v>25.34</v>
      </c>
      <c r="H13" s="544">
        <f>SUM(F13:G13)</f>
        <v>77.41</v>
      </c>
      <c r="I13" s="544">
        <f>I12</f>
        <v>75.2</v>
      </c>
      <c r="J13" s="545">
        <f>H13*I13</f>
        <v>5821.23</v>
      </c>
    </row>
    <row r="14" spans="1:10" x14ac:dyDescent="0.2">
      <c r="A14" s="540">
        <f>Terrap.!A16</f>
        <v>4</v>
      </c>
      <c r="B14" s="541">
        <f>Terrap.!B16</f>
        <v>0</v>
      </c>
      <c r="C14" s="542">
        <f>Pavim.!J16</f>
        <v>0</v>
      </c>
      <c r="D14" s="543">
        <f t="shared" si="0"/>
        <v>21</v>
      </c>
      <c r="E14" s="543">
        <f t="shared" si="0"/>
        <v>10.220000000000001</v>
      </c>
      <c r="F14" s="544">
        <f>C14*D14/1000</f>
        <v>0</v>
      </c>
      <c r="G14" s="544">
        <f>C14*E14/1000</f>
        <v>0</v>
      </c>
      <c r="H14" s="544">
        <f>SUM(F14:G14)</f>
        <v>0</v>
      </c>
      <c r="I14" s="544">
        <f>I13</f>
        <v>75.2</v>
      </c>
      <c r="J14" s="545">
        <f>H14*I14</f>
        <v>0</v>
      </c>
    </row>
    <row r="15" spans="1:10" x14ac:dyDescent="0.2">
      <c r="A15" s="540"/>
      <c r="B15" s="541"/>
      <c r="C15" s="542"/>
      <c r="D15" s="543"/>
      <c r="E15" s="543"/>
      <c r="F15" s="544"/>
      <c r="G15" s="544"/>
      <c r="H15" s="544"/>
      <c r="I15" s="544"/>
      <c r="J15" s="545"/>
    </row>
    <row r="16" spans="1:10" ht="13.5" thickBot="1" x14ac:dyDescent="0.25">
      <c r="A16" s="1166" t="s">
        <v>70</v>
      </c>
      <c r="B16" s="1167"/>
      <c r="C16" s="546">
        <f>SUM(C11:C15)</f>
        <v>7896.8</v>
      </c>
      <c r="D16" s="546"/>
      <c r="E16" s="546"/>
      <c r="F16" s="547">
        <f>SUM(F11:F15)</f>
        <v>165.84</v>
      </c>
      <c r="G16" s="547">
        <f>SUM(G11:G15)</f>
        <v>80.709999999999994</v>
      </c>
      <c r="H16" s="547">
        <f>SUM(H11:H15)</f>
        <v>246.55</v>
      </c>
      <c r="I16" s="548"/>
      <c r="J16" s="561">
        <f>SUM(J11:J15)</f>
        <v>18540.560000000001</v>
      </c>
    </row>
    <row r="17" spans="1:10" x14ac:dyDescent="0.2">
      <c r="A17" s="261"/>
      <c r="B17" s="261"/>
      <c r="C17" s="262"/>
      <c r="D17" s="262"/>
      <c r="E17" s="262"/>
      <c r="F17" s="263"/>
      <c r="G17" s="263"/>
      <c r="H17" s="263"/>
      <c r="I17" s="398"/>
      <c r="J17" s="263"/>
    </row>
    <row r="18" spans="1:10" x14ac:dyDescent="0.2">
      <c r="D18" s="985"/>
      <c r="E18" s="985"/>
      <c r="F18" s="985"/>
      <c r="G18" s="985"/>
    </row>
    <row r="19" spans="1:10" x14ac:dyDescent="0.2">
      <c r="B19" s="401" t="str">
        <f>Terrap.!B20</f>
        <v xml:space="preserve">Vinicius Ferreira Fava </v>
      </c>
      <c r="D19" s="985"/>
      <c r="E19" s="985"/>
      <c r="F19" s="985"/>
      <c r="G19" s="985"/>
    </row>
    <row r="20" spans="1:10" x14ac:dyDescent="0.2">
      <c r="B20" s="402" t="str">
        <f>Terrap.!B21</f>
        <v>ENGº CIVIL</v>
      </c>
      <c r="D20" s="985"/>
      <c r="E20" s="397"/>
      <c r="F20" s="986"/>
      <c r="G20" s="987"/>
    </row>
    <row r="21" spans="1:10" x14ac:dyDescent="0.2">
      <c r="B21" s="402" t="str">
        <f>Terrap.!B22</f>
        <v>Crea: 121.286.161-2</v>
      </c>
      <c r="D21" s="985"/>
      <c r="E21" s="397"/>
      <c r="F21" s="986"/>
      <c r="G21" s="987"/>
    </row>
  </sheetData>
  <mergeCells count="22">
    <mergeCell ref="A16:B16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J10"/>
    <mergeCell ref="J8:J9"/>
    <mergeCell ref="A1:J1"/>
    <mergeCell ref="A2:J2"/>
    <mergeCell ref="B6:D6"/>
    <mergeCell ref="F6:G6"/>
    <mergeCell ref="B3:J3"/>
    <mergeCell ref="F5:H5"/>
    <mergeCell ref="I4:J6"/>
    <mergeCell ref="B4:H4"/>
    <mergeCell ref="B5:D5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2"/>
  <sheetViews>
    <sheetView view="pageBreakPreview" topLeftCell="A4" zoomScale="115" zoomScaleSheetLayoutView="115" workbookViewId="0">
      <selection activeCell="J13" sqref="J13"/>
    </sheetView>
  </sheetViews>
  <sheetFormatPr defaultRowHeight="12.75" x14ac:dyDescent="0.2"/>
  <cols>
    <col min="1" max="1" width="12.42578125" style="266" customWidth="1"/>
    <col min="2" max="2" width="42.7109375" style="266" customWidth="1"/>
    <col min="3" max="3" width="12.28515625" style="266" customWidth="1"/>
    <col min="4" max="4" width="11.5703125" style="266" bestFit="1" customWidth="1"/>
    <col min="5" max="5" width="9" style="266" customWidth="1"/>
    <col min="6" max="6" width="12.140625" style="266" customWidth="1"/>
    <col min="7" max="7" width="9.42578125" style="266" customWidth="1"/>
    <col min="8" max="8" width="11.85546875" style="266" customWidth="1"/>
    <col min="9" max="9" width="13" style="266" customWidth="1"/>
    <col min="10" max="10" width="15.7109375" style="266" customWidth="1"/>
    <col min="11" max="16384" width="9.140625" style="265"/>
  </cols>
  <sheetData>
    <row r="1" spans="1:10" ht="15.75" x14ac:dyDescent="0.2">
      <c r="A1" s="1078" t="str">
        <f>Terrap.!A1</f>
        <v>ESTADO DE MATO GROSSO</v>
      </c>
      <c r="B1" s="1079"/>
      <c r="C1" s="1079"/>
      <c r="D1" s="1079"/>
      <c r="E1" s="1079"/>
      <c r="F1" s="1079"/>
      <c r="G1" s="1079"/>
      <c r="H1" s="1079"/>
      <c r="I1" s="1079"/>
      <c r="J1" s="1080"/>
    </row>
    <row r="2" spans="1:10" ht="15.75" x14ac:dyDescent="0.2">
      <c r="A2" s="1081" t="str">
        <f>Terrap.!A2</f>
        <v xml:space="preserve">PREFEITURA MUNICIPAL DE BARRA DO BUGRES </v>
      </c>
      <c r="B2" s="1082"/>
      <c r="C2" s="1082"/>
      <c r="D2" s="1082"/>
      <c r="E2" s="1082"/>
      <c r="F2" s="1082"/>
      <c r="G2" s="1082"/>
      <c r="H2" s="1082"/>
      <c r="I2" s="1082"/>
      <c r="J2" s="1083"/>
    </row>
    <row r="3" spans="1:10" ht="15" customHeight="1" x14ac:dyDescent="0.2">
      <c r="A3" s="403" t="s">
        <v>56</v>
      </c>
      <c r="B3" s="1225" t="str">
        <f>Terrap.!B3</f>
        <v>PAVIMENTAÇÃO ASFALTICA E DRENAGEM DE AGUAS PLUVIAIS</v>
      </c>
      <c r="C3" s="1225"/>
      <c r="D3" s="1225"/>
      <c r="E3" s="1225"/>
      <c r="F3" s="1225"/>
      <c r="G3" s="1225"/>
      <c r="H3" s="1225"/>
      <c r="I3" s="1225"/>
      <c r="J3" s="1226"/>
    </row>
    <row r="4" spans="1:10" ht="15" customHeight="1" x14ac:dyDescent="0.2">
      <c r="A4" s="403" t="s">
        <v>57</v>
      </c>
      <c r="B4" s="1225" t="str">
        <f>Terrap.!B4</f>
        <v>DIVERSAS RUAS - PERIMETRO URBANO</v>
      </c>
      <c r="C4" s="1225"/>
      <c r="D4" s="1225"/>
      <c r="E4" s="1225"/>
      <c r="F4" s="1225"/>
      <c r="G4" s="1225"/>
      <c r="H4" s="1225"/>
      <c r="I4" s="1228" t="str">
        <f>Terrap.!I3</f>
        <v>SINAPI - MARÇO / 2020                                                                                                                               ANP - NOV/2019 (desonerado) SICRO OUT/2019</v>
      </c>
      <c r="J4" s="1229"/>
    </row>
    <row r="5" spans="1:10" ht="15" customHeight="1" x14ac:dyDescent="0.2">
      <c r="A5" s="403" t="s">
        <v>58</v>
      </c>
      <c r="B5" s="1225" t="str">
        <f>Terrap.!B5</f>
        <v xml:space="preserve">PREFEITURA MUNICIPAL DE BARRA DO BUGRES </v>
      </c>
      <c r="C5" s="1225"/>
      <c r="D5" s="1225"/>
      <c r="E5" s="404" t="s">
        <v>370</v>
      </c>
      <c r="F5" s="1227" t="str">
        <f>Terrap.!F5</f>
        <v>maio 2020</v>
      </c>
      <c r="G5" s="1227"/>
      <c r="H5" s="1227"/>
      <c r="I5" s="1228"/>
      <c r="J5" s="1229"/>
    </row>
    <row r="6" spans="1:10" ht="15" customHeight="1" thickBot="1" x14ac:dyDescent="0.25">
      <c r="A6" s="405" t="s">
        <v>59</v>
      </c>
      <c r="B6" s="1223">
        <f>Pavim.!B6</f>
        <v>7896.8</v>
      </c>
      <c r="C6" s="1223"/>
      <c r="D6" s="1223"/>
      <c r="E6" s="406" t="s">
        <v>60</v>
      </c>
      <c r="F6" s="1224">
        <f>Terrap.!F6</f>
        <v>0.26740000000000003</v>
      </c>
      <c r="G6" s="1224"/>
      <c r="H6" s="406" t="s">
        <v>61</v>
      </c>
      <c r="I6" s="1230"/>
      <c r="J6" s="1231"/>
    </row>
    <row r="7" spans="1:10" ht="19.5" customHeight="1" thickBot="1" x14ac:dyDescent="0.25">
      <c r="A7" s="1236" t="s">
        <v>305</v>
      </c>
      <c r="B7" s="1237"/>
      <c r="C7" s="1237"/>
      <c r="D7" s="1237"/>
      <c r="E7" s="1237"/>
      <c r="F7" s="1237"/>
      <c r="G7" s="1237"/>
      <c r="H7" s="1237"/>
      <c r="I7" s="1237"/>
      <c r="J7" s="1238"/>
    </row>
    <row r="8" spans="1:10" ht="26.25" customHeight="1" x14ac:dyDescent="0.2">
      <c r="A8" s="1168" t="s">
        <v>62</v>
      </c>
      <c r="B8" s="1170" t="s">
        <v>63</v>
      </c>
      <c r="C8" s="1164" t="s">
        <v>66</v>
      </c>
      <c r="D8" s="1164" t="s">
        <v>336</v>
      </c>
      <c r="E8" s="1164" t="s">
        <v>335</v>
      </c>
      <c r="F8" s="1164" t="s">
        <v>306</v>
      </c>
      <c r="G8" s="1164" t="s">
        <v>307</v>
      </c>
      <c r="H8" s="1164" t="s">
        <v>302</v>
      </c>
      <c r="I8" s="1164" t="s">
        <v>303</v>
      </c>
      <c r="J8" s="1161" t="s">
        <v>304</v>
      </c>
    </row>
    <row r="9" spans="1:10" x14ac:dyDescent="0.2">
      <c r="A9" s="1169"/>
      <c r="B9" s="1171"/>
      <c r="C9" s="1165"/>
      <c r="D9" s="1165"/>
      <c r="E9" s="1165"/>
      <c r="F9" s="1165"/>
      <c r="G9" s="1165"/>
      <c r="H9" s="1165"/>
      <c r="I9" s="1165"/>
      <c r="J9" s="1162"/>
    </row>
    <row r="10" spans="1:10" x14ac:dyDescent="0.2">
      <c r="A10" s="1169" t="str">
        <f>Terrap.!A10</f>
        <v>TRECHO 01</v>
      </c>
      <c r="B10" s="1171"/>
      <c r="C10" s="1171"/>
      <c r="D10" s="1171"/>
      <c r="E10" s="1171"/>
      <c r="F10" s="1171"/>
      <c r="G10" s="1171"/>
      <c r="H10" s="1171"/>
      <c r="I10" s="1171"/>
      <c r="J10" s="1235"/>
    </row>
    <row r="11" spans="1:10" x14ac:dyDescent="0.2">
      <c r="A11" s="540">
        <f>Terrap.!A11</f>
        <v>1</v>
      </c>
      <c r="B11" s="541" t="str">
        <f>Terrap.!B11</f>
        <v>RUA DOM PEDRO II</v>
      </c>
      <c r="C11" s="542">
        <f>Pavim.!J11</f>
        <v>2851.88</v>
      </c>
      <c r="D11" s="543">
        <f>COMPOSIÇÕES!D26</f>
        <v>1.2</v>
      </c>
      <c r="E11" s="543">
        <f>COMPOSIÇÕES!D44</f>
        <v>4.8</v>
      </c>
      <c r="F11" s="544">
        <f>C11*D11/1000</f>
        <v>3.42</v>
      </c>
      <c r="G11" s="544">
        <f>C11*E11/1000</f>
        <v>13.69</v>
      </c>
      <c r="H11" s="544">
        <f>SUM(F11:G11)</f>
        <v>17.11</v>
      </c>
      <c r="I11" s="544">
        <v>180</v>
      </c>
      <c r="J11" s="545">
        <f>H11*I11</f>
        <v>3079.8</v>
      </c>
    </row>
    <row r="12" spans="1:10" x14ac:dyDescent="0.2">
      <c r="A12" s="540">
        <f>Terrap.!A12</f>
        <v>2</v>
      </c>
      <c r="B12" s="541" t="str">
        <f>Terrap.!B12</f>
        <v>RUA DOM ARTUR</v>
      </c>
      <c r="C12" s="542">
        <f>Pavim.!J12</f>
        <v>2565.48</v>
      </c>
      <c r="D12" s="543">
        <f>$D$11</f>
        <v>1.2</v>
      </c>
      <c r="E12" s="543">
        <f>$E$11</f>
        <v>4.8</v>
      </c>
      <c r="F12" s="544">
        <f>C12*D12/1000</f>
        <v>3.08</v>
      </c>
      <c r="G12" s="544">
        <f>C12*E12/1000</f>
        <v>12.31</v>
      </c>
      <c r="H12" s="544">
        <f>SUM(F12:G12)</f>
        <v>15.39</v>
      </c>
      <c r="I12" s="544">
        <f>I11</f>
        <v>180</v>
      </c>
      <c r="J12" s="545">
        <f>H12*I12</f>
        <v>2770.2</v>
      </c>
    </row>
    <row r="13" spans="1:10" x14ac:dyDescent="0.2">
      <c r="A13" s="540">
        <f>Terrap.!A15</f>
        <v>3</v>
      </c>
      <c r="B13" s="541" t="str">
        <f>Terrap.!B15</f>
        <v>RUA TAPAJOS</v>
      </c>
      <c r="C13" s="542">
        <f>Pavim.!J15</f>
        <v>2479.44</v>
      </c>
      <c r="D13" s="543">
        <f t="shared" ref="D13:D14" si="0">$D$11</f>
        <v>1.2</v>
      </c>
      <c r="E13" s="543">
        <f t="shared" ref="E13:E14" si="1">$E$11</f>
        <v>4.8</v>
      </c>
      <c r="F13" s="544">
        <f>C13*D13/1000</f>
        <v>2.98</v>
      </c>
      <c r="G13" s="544">
        <f>C13*E13/1000</f>
        <v>11.9</v>
      </c>
      <c r="H13" s="544">
        <f>SUM(F13:G13)</f>
        <v>14.88</v>
      </c>
      <c r="I13" s="544">
        <f>I12</f>
        <v>180</v>
      </c>
      <c r="J13" s="545">
        <f>H13*I13</f>
        <v>2678.4</v>
      </c>
    </row>
    <row r="14" spans="1:10" x14ac:dyDescent="0.2">
      <c r="A14" s="540">
        <f>Terrap.!A16</f>
        <v>4</v>
      </c>
      <c r="B14" s="541">
        <f>Terrap.!B16</f>
        <v>0</v>
      </c>
      <c r="C14" s="542">
        <f>Pavim.!J16</f>
        <v>0</v>
      </c>
      <c r="D14" s="543">
        <f t="shared" si="0"/>
        <v>1.2</v>
      </c>
      <c r="E14" s="543">
        <f t="shared" si="1"/>
        <v>4.8</v>
      </c>
      <c r="F14" s="544">
        <f>C14*D14/1000</f>
        <v>0</v>
      </c>
      <c r="G14" s="544">
        <f>C14*E14/1000</f>
        <v>0</v>
      </c>
      <c r="H14" s="544">
        <f>SUM(F14:G14)</f>
        <v>0</v>
      </c>
      <c r="I14" s="544">
        <f>I13</f>
        <v>180</v>
      </c>
      <c r="J14" s="545">
        <f>H14*I14</f>
        <v>0</v>
      </c>
    </row>
    <row r="15" spans="1:10" x14ac:dyDescent="0.2">
      <c r="A15" s="540"/>
      <c r="B15" s="541"/>
      <c r="C15" s="542"/>
      <c r="D15" s="543"/>
      <c r="E15" s="543"/>
      <c r="F15" s="544"/>
      <c r="G15" s="544"/>
      <c r="H15" s="544"/>
      <c r="I15" s="544"/>
      <c r="J15" s="545"/>
    </row>
    <row r="16" spans="1:10" ht="13.5" thickBot="1" x14ac:dyDescent="0.25">
      <c r="A16" s="1166" t="s">
        <v>70</v>
      </c>
      <c r="B16" s="1167"/>
      <c r="C16" s="546">
        <f>SUM(C11:C15)</f>
        <v>7896.8</v>
      </c>
      <c r="D16" s="546"/>
      <c r="E16" s="546"/>
      <c r="F16" s="547">
        <f>SUM(F11:F15)</f>
        <v>9.48</v>
      </c>
      <c r="G16" s="547">
        <f>SUM(G11:G15)</f>
        <v>37.9</v>
      </c>
      <c r="H16" s="547">
        <f>SUM(H11:H15)</f>
        <v>47.38</v>
      </c>
      <c r="I16" s="548"/>
      <c r="J16" s="561">
        <f>SUM(J11:J15)</f>
        <v>8528.4</v>
      </c>
    </row>
    <row r="20" spans="2:2" x14ac:dyDescent="0.2">
      <c r="B20" s="289" t="str">
        <f>Terrap.!B20</f>
        <v xml:space="preserve">Vinicius Ferreira Fava </v>
      </c>
    </row>
    <row r="21" spans="2:2" x14ac:dyDescent="0.2">
      <c r="B21" s="290" t="str">
        <f>Terrap.!B21</f>
        <v>ENGº CIVIL</v>
      </c>
    </row>
    <row r="22" spans="2:2" x14ac:dyDescent="0.2">
      <c r="B22" s="290" t="str">
        <f>Terrap.!B22</f>
        <v>Crea: 121.286.161-2</v>
      </c>
    </row>
  </sheetData>
  <mergeCells count="22">
    <mergeCell ref="A16:B16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J10"/>
    <mergeCell ref="J8:J9"/>
    <mergeCell ref="A1:J1"/>
    <mergeCell ref="A2:J2"/>
    <mergeCell ref="B3:J3"/>
    <mergeCell ref="B4:H4"/>
    <mergeCell ref="I4:J6"/>
    <mergeCell ref="B5:D5"/>
    <mergeCell ref="F5:H5"/>
    <mergeCell ref="B6:D6"/>
    <mergeCell ref="F6:G6"/>
  </mergeCells>
  <pageMargins left="0.511811024" right="0.511811024" top="0.78740157499999996" bottom="0.78740157499999996" header="0.31496062000000002" footer="0.31496062000000002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35</vt:i4>
      </vt:variant>
    </vt:vector>
  </HeadingPairs>
  <TitlesOfParts>
    <vt:vector size="62" baseType="lpstr">
      <vt:lpstr>Ruas Ben</vt:lpstr>
      <vt:lpstr>M. Calc Dre</vt:lpstr>
      <vt:lpstr>Terrap.</vt:lpstr>
      <vt:lpstr>Cub</vt:lpstr>
      <vt:lpstr>BASE E SUB</vt:lpstr>
      <vt:lpstr>Pavim.</vt:lpstr>
      <vt:lpstr>Coord</vt:lpstr>
      <vt:lpstr>MAT. PETREO</vt:lpstr>
      <vt:lpstr>MAT BETUMINOSO</vt:lpstr>
      <vt:lpstr>MF e Sarj.</vt:lpstr>
      <vt:lpstr>CALC PISO TATIL</vt:lpstr>
      <vt:lpstr>CALÇADA</vt:lpstr>
      <vt:lpstr>PISO TATIL</vt:lpstr>
      <vt:lpstr>Sinal.</vt:lpstr>
      <vt:lpstr>Mem. Calc.</vt:lpstr>
      <vt:lpstr>Comp. TSD E CAPA</vt:lpstr>
      <vt:lpstr>Orçam.</vt:lpstr>
      <vt:lpstr>Resumo</vt:lpstr>
      <vt:lpstr>Orçam. (2)</vt:lpstr>
      <vt:lpstr>Crono Basico</vt:lpstr>
      <vt:lpstr>Crono Comp.</vt:lpstr>
      <vt:lpstr>BDI</vt:lpstr>
      <vt:lpstr>QCI</vt:lpstr>
      <vt:lpstr>COMPOSIÇÕES</vt:lpstr>
      <vt:lpstr>ADM LOCAL</vt:lpstr>
      <vt:lpstr>COMP PV</vt:lpstr>
      <vt:lpstr>CRON 2</vt:lpstr>
      <vt:lpstr>'ADM LOCAL'!Area_de_impressao</vt:lpstr>
      <vt:lpstr>'BASE E SUB'!Area_de_impressao</vt:lpstr>
      <vt:lpstr>BDI!Area_de_impressao</vt:lpstr>
      <vt:lpstr>'CALC PISO TATIL'!Area_de_impressao</vt:lpstr>
      <vt:lpstr>CALÇADA!Area_de_impressao</vt:lpstr>
      <vt:lpstr>'COMP PV'!Area_de_impressao</vt:lpstr>
      <vt:lpstr>COMPOSIÇÕES!Area_de_impressao</vt:lpstr>
      <vt:lpstr>Coord!Area_de_impressao</vt:lpstr>
      <vt:lpstr>'CRON 2'!Area_de_impressao</vt:lpstr>
      <vt:lpstr>'Crono Basico'!Area_de_impressao</vt:lpstr>
      <vt:lpstr>'Crono Comp.'!Area_de_impressao</vt:lpstr>
      <vt:lpstr>Cub!Area_de_impressao</vt:lpstr>
      <vt:lpstr>'M. Calc Dre'!Area_de_impressao</vt:lpstr>
      <vt:lpstr>'MAT BETUMINOSO'!Area_de_impressao</vt:lpstr>
      <vt:lpstr>'MAT. PETREO'!Area_de_impressao</vt:lpstr>
      <vt:lpstr>'Mem. Calc.'!Area_de_impressao</vt:lpstr>
      <vt:lpstr>'MF e Sarj.'!Area_de_impressao</vt:lpstr>
      <vt:lpstr>Orçam.!Area_de_impressao</vt:lpstr>
      <vt:lpstr>'Orçam. (2)'!Area_de_impressao</vt:lpstr>
      <vt:lpstr>Pavim.!Area_de_impressao</vt:lpstr>
      <vt:lpstr>'PISO TATIL'!Area_de_impressao</vt:lpstr>
      <vt:lpstr>QCI!Area_de_impressao</vt:lpstr>
      <vt:lpstr>Resumo!Area_de_impressao</vt:lpstr>
      <vt:lpstr>'Ruas Ben'!Area_de_impressao</vt:lpstr>
      <vt:lpstr>Sinal.!Area_de_impressao</vt:lpstr>
      <vt:lpstr>Terrap.!Area_de_impressao</vt:lpstr>
      <vt:lpstr>COMPOSIÇÕES!Titulos_de_impressao</vt:lpstr>
      <vt:lpstr>'CRON 2'!Titulos_de_impressao</vt:lpstr>
      <vt:lpstr>'Crono Basico'!Titulos_de_impressao</vt:lpstr>
      <vt:lpstr>'Crono Comp.'!Titulos_de_impressao</vt:lpstr>
      <vt:lpstr>Cub!Titulos_de_impressao</vt:lpstr>
      <vt:lpstr>'M. Calc Dre'!Titulos_de_impressao</vt:lpstr>
      <vt:lpstr>'Mem. Calc.'!Titulos_de_impressao</vt:lpstr>
      <vt:lpstr>Orçam.!Titulos_de_impressao</vt:lpstr>
      <vt:lpstr>'Orçam. (2)'!Titulos_de_impressao</vt:lpstr>
    </vt:vector>
  </TitlesOfParts>
  <Company>PNUD/BRA/00/027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Usuario</cp:lastModifiedBy>
  <cp:lastPrinted>2020-05-21T00:55:12Z</cp:lastPrinted>
  <dcterms:created xsi:type="dcterms:W3CDTF">2005-05-25T12:35:26Z</dcterms:created>
  <dcterms:modified xsi:type="dcterms:W3CDTF">2020-06-10T19:44:43Z</dcterms:modified>
</cp:coreProperties>
</file>